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13_ncr:1_{4E269504-4CDE-47AF-8EBE-F37311953106}" xr6:coauthVersionLast="47" xr6:coauthVersionMax="47" xr10:uidLastSave="{00000000-0000-0000-0000-000000000000}"/>
  <bookViews>
    <workbookView xWindow="-120" yWindow="-120" windowWidth="29040" windowHeight="15720" firstSheet="1" activeTab="3" xr2:uid="{00000000-000D-0000-FFFF-FFFF00000000}"/>
  </bookViews>
  <sheets>
    <sheet name="Lists" sheetId="5" state="hidden" r:id="rId1"/>
    <sheet name="Confidentiality" sheetId="6" r:id="rId2"/>
    <sheet name="Change Log" sheetId="8" r:id="rId3"/>
    <sheet name="Questions" sheetId="1" r:id="rId4"/>
  </sheets>
  <definedNames>
    <definedName name="_xlnm._FilterDatabase" localSheetId="3" hidden="1">Questions!$A$1:$FR$277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70" i="1" l="1"/>
  <c r="E253" i="1"/>
  <c r="E203" i="1"/>
  <c r="E159" i="1"/>
  <c r="E150" i="1"/>
  <c r="E138" i="1"/>
  <c r="E137" i="1"/>
  <c r="E136" i="1"/>
  <c r="E128" i="1"/>
  <c r="E71" i="1"/>
  <c r="C276" i="1" l="1"/>
  <c r="C259" i="1"/>
  <c r="C232" i="1"/>
  <c r="C221" i="1"/>
  <c r="C208" i="1"/>
  <c r="C182" i="1"/>
  <c r="C157" i="1"/>
  <c r="C142" i="1"/>
  <c r="C121" i="1"/>
  <c r="C91" i="1"/>
  <c r="C77" i="1"/>
  <c r="C61" i="1"/>
  <c r="C46" i="1"/>
  <c r="E273" i="1"/>
  <c r="E117" i="1" l="1"/>
  <c r="E134" i="1"/>
  <c r="E125" i="1"/>
  <c r="E85" i="1" l="1"/>
  <c r="J107" i="1"/>
  <c r="E107" i="1"/>
  <c r="E265" i="1"/>
  <c r="E209" i="1"/>
  <c r="E247" i="1"/>
  <c r="E111" i="1"/>
  <c r="E264" i="1"/>
  <c r="E122" i="1"/>
  <c r="E73" i="1"/>
  <c r="E72" i="1"/>
  <c r="J277" i="1"/>
  <c r="J276" i="1" s="1"/>
  <c r="J275" i="1"/>
  <c r="J274" i="1"/>
  <c r="J273" i="1"/>
  <c r="J272" i="1"/>
  <c r="J271" i="1"/>
  <c r="J270" i="1"/>
  <c r="J269" i="1"/>
  <c r="J268" i="1"/>
  <c r="J267" i="1"/>
  <c r="J266" i="1"/>
  <c r="J265" i="1"/>
  <c r="J264" i="1"/>
  <c r="J263" i="1"/>
  <c r="J262" i="1"/>
  <c r="J261" i="1"/>
  <c r="J260"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1" i="1"/>
  <c r="J230" i="1"/>
  <c r="J229" i="1"/>
  <c r="J228" i="1"/>
  <c r="J227" i="1"/>
  <c r="J226" i="1"/>
  <c r="J225" i="1"/>
  <c r="J224" i="1"/>
  <c r="J223" i="1"/>
  <c r="J222" i="1"/>
  <c r="J220" i="1"/>
  <c r="J219" i="1"/>
  <c r="J218" i="1"/>
  <c r="J217" i="1"/>
  <c r="J216" i="1"/>
  <c r="J215" i="1"/>
  <c r="J214" i="1"/>
  <c r="J213" i="1"/>
  <c r="J212" i="1"/>
  <c r="J211" i="1"/>
  <c r="J210" i="1"/>
  <c r="J209"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1" i="1"/>
  <c r="J180" i="1"/>
  <c r="J179" i="1"/>
  <c r="J178" i="1"/>
  <c r="J177" i="1"/>
  <c r="J176" i="1"/>
  <c r="J175" i="1"/>
  <c r="J174" i="1"/>
  <c r="J173" i="1"/>
  <c r="J172" i="1"/>
  <c r="J171" i="1"/>
  <c r="J170" i="1"/>
  <c r="J169" i="1"/>
  <c r="J168" i="1"/>
  <c r="J167" i="1"/>
  <c r="J166" i="1"/>
  <c r="J165" i="1"/>
  <c r="J164" i="1"/>
  <c r="J163" i="1"/>
  <c r="J162" i="1"/>
  <c r="J161" i="1"/>
  <c r="J160" i="1"/>
  <c r="J159" i="1"/>
  <c r="J158" i="1"/>
  <c r="J156" i="1"/>
  <c r="J155" i="1"/>
  <c r="J154" i="1"/>
  <c r="J153" i="1"/>
  <c r="J152" i="1"/>
  <c r="J151" i="1"/>
  <c r="J150" i="1"/>
  <c r="J149" i="1"/>
  <c r="J148" i="1"/>
  <c r="J147" i="1"/>
  <c r="J146" i="1"/>
  <c r="J145" i="1"/>
  <c r="J144" i="1"/>
  <c r="J143" i="1"/>
  <c r="J141" i="1"/>
  <c r="J140" i="1"/>
  <c r="J139" i="1"/>
  <c r="J138" i="1"/>
  <c r="J137" i="1"/>
  <c r="J136" i="1"/>
  <c r="J135" i="1"/>
  <c r="J134" i="1"/>
  <c r="J133" i="1"/>
  <c r="J132" i="1"/>
  <c r="J131" i="1"/>
  <c r="J130" i="1"/>
  <c r="J129" i="1"/>
  <c r="J128" i="1"/>
  <c r="J127" i="1"/>
  <c r="J126" i="1"/>
  <c r="J125" i="1"/>
  <c r="J124" i="1"/>
  <c r="J123" i="1"/>
  <c r="J122" i="1"/>
  <c r="J120" i="1"/>
  <c r="J119" i="1"/>
  <c r="J118" i="1"/>
  <c r="J117" i="1"/>
  <c r="J116" i="1"/>
  <c r="J115" i="1"/>
  <c r="J114" i="1"/>
  <c r="J113" i="1"/>
  <c r="J112" i="1"/>
  <c r="J111" i="1"/>
  <c r="J110" i="1"/>
  <c r="J109" i="1"/>
  <c r="J108" i="1"/>
  <c r="J106" i="1"/>
  <c r="J105" i="1"/>
  <c r="J104" i="1"/>
  <c r="J103" i="1"/>
  <c r="J102" i="1"/>
  <c r="J101" i="1"/>
  <c r="J100" i="1"/>
  <c r="J99" i="1"/>
  <c r="J98" i="1"/>
  <c r="J97" i="1"/>
  <c r="J96" i="1"/>
  <c r="J95" i="1"/>
  <c r="J94" i="1"/>
  <c r="J93" i="1"/>
  <c r="J92" i="1"/>
  <c r="J90" i="1"/>
  <c r="J89" i="1"/>
  <c r="J88" i="1"/>
  <c r="J87" i="1"/>
  <c r="J86" i="1"/>
  <c r="J85" i="1"/>
  <c r="J84" i="1"/>
  <c r="J83" i="1"/>
  <c r="J82" i="1"/>
  <c r="J81" i="1"/>
  <c r="J80" i="1"/>
  <c r="J79" i="1"/>
  <c r="J78" i="1"/>
  <c r="J76" i="1"/>
  <c r="J75" i="1"/>
  <c r="J74" i="1"/>
  <c r="J73" i="1"/>
  <c r="J72" i="1"/>
  <c r="J71" i="1"/>
  <c r="J70" i="1"/>
  <c r="J69" i="1"/>
  <c r="J68" i="1"/>
  <c r="J67" i="1"/>
  <c r="J66" i="1"/>
  <c r="J65" i="1"/>
  <c r="J64" i="1"/>
  <c r="J63" i="1"/>
  <c r="J62" i="1"/>
  <c r="J60" i="1"/>
  <c r="J59" i="1"/>
  <c r="J58" i="1"/>
  <c r="J57" i="1"/>
  <c r="J56" i="1"/>
  <c r="J55" i="1"/>
  <c r="J54" i="1"/>
  <c r="J53" i="1"/>
  <c r="J52" i="1"/>
  <c r="J51" i="1"/>
  <c r="J50" i="1"/>
  <c r="J49" i="1"/>
  <c r="J48" i="1"/>
  <c r="J47" i="1"/>
  <c r="E262" i="1"/>
  <c r="E275" i="1"/>
  <c r="J91" i="1" l="1"/>
  <c r="J142" i="1"/>
  <c r="J77" i="1"/>
  <c r="J61" i="1"/>
  <c r="J221" i="1"/>
  <c r="J121" i="1"/>
  <c r="J208" i="1"/>
  <c r="J46" i="1"/>
  <c r="J182" i="1"/>
  <c r="J157" i="1"/>
  <c r="J232" i="1"/>
  <c r="J259" i="1"/>
  <c r="J5" i="1" l="1"/>
  <c r="E79" i="1"/>
  <c r="E78" i="1" l="1"/>
  <c r="E251" i="1" l="1"/>
  <c r="E228" i="1"/>
  <c r="E135" i="1"/>
  <c r="E120" i="1"/>
  <c r="E99" i="1"/>
  <c r="E98" i="1"/>
  <c r="E260" i="1"/>
  <c r="E189" i="1"/>
  <c r="E130" i="1"/>
  <c r="E95" i="1"/>
  <c r="E69" i="1"/>
  <c r="E68" i="1"/>
  <c r="E67" i="1"/>
  <c r="E66" i="1"/>
  <c r="E65" i="1"/>
  <c r="E58" i="1"/>
  <c r="E115" i="1" l="1"/>
  <c r="E126" i="1" l="1"/>
  <c r="E272" i="1" l="1"/>
  <c r="E271" i="1"/>
  <c r="E268" i="1"/>
  <c r="E267" i="1"/>
  <c r="E261" i="1"/>
  <c r="E258" i="1"/>
  <c r="E257" i="1"/>
  <c r="E256" i="1"/>
  <c r="E255" i="1"/>
  <c r="E254" i="1"/>
  <c r="E250" i="1"/>
  <c r="E249" i="1"/>
  <c r="E248" i="1"/>
  <c r="E245" i="1"/>
  <c r="E241" i="1"/>
  <c r="E236" i="1"/>
  <c r="E235" i="1"/>
  <c r="E234" i="1"/>
  <c r="E233" i="1"/>
  <c r="E231" i="1"/>
  <c r="E230" i="1"/>
  <c r="E229" i="1"/>
  <c r="E227" i="1"/>
  <c r="E226" i="1"/>
  <c r="E225" i="1"/>
  <c r="E224" i="1"/>
  <c r="E219" i="1"/>
  <c r="E213" i="1"/>
  <c r="E205" i="1"/>
  <c r="E201" i="1"/>
  <c r="E199" i="1"/>
  <c r="E198" i="1"/>
  <c r="E197" i="1"/>
  <c r="E195" i="1"/>
  <c r="E194" i="1"/>
  <c r="E193" i="1"/>
  <c r="E192" i="1"/>
  <c r="E190" i="1"/>
  <c r="E186" i="1"/>
  <c r="E185" i="1"/>
  <c r="E183" i="1"/>
  <c r="E173" i="1"/>
  <c r="E171" i="1"/>
  <c r="E169" i="1"/>
  <c r="E168" i="1"/>
  <c r="E166" i="1"/>
  <c r="E165" i="1"/>
  <c r="E164" i="1"/>
  <c r="E162" i="1"/>
  <c r="E160" i="1"/>
  <c r="E158" i="1"/>
  <c r="E156" i="1"/>
  <c r="E155" i="1"/>
  <c r="E154" i="1"/>
  <c r="E153" i="1"/>
  <c r="E152" i="1"/>
  <c r="E151" i="1"/>
  <c r="E148" i="1"/>
  <c r="E147" i="1"/>
  <c r="E144" i="1"/>
  <c r="E143" i="1"/>
  <c r="E140" i="1"/>
  <c r="E139" i="1"/>
  <c r="E133" i="1"/>
  <c r="E127" i="1"/>
  <c r="E124" i="1"/>
  <c r="E123" i="1"/>
  <c r="E119" i="1"/>
  <c r="E114" i="1"/>
  <c r="E110" i="1"/>
  <c r="E109" i="1"/>
  <c r="E108" i="1"/>
  <c r="E105" i="1"/>
  <c r="E104" i="1"/>
  <c r="E103" i="1"/>
  <c r="E102" i="1"/>
  <c r="E100" i="1"/>
  <c r="E94" i="1"/>
  <c r="E93" i="1"/>
  <c r="E90" i="1"/>
  <c r="E89" i="1"/>
  <c r="E86" i="1"/>
  <c r="E59" i="1"/>
  <c r="E54" i="1"/>
</calcChain>
</file>

<file path=xl/sharedStrings.xml><?xml version="1.0" encoding="utf-8"?>
<sst xmlns="http://schemas.openxmlformats.org/spreadsheetml/2006/main" count="1929" uniqueCount="1209">
  <si>
    <t>mm/dd/yyyy</t>
  </si>
  <si>
    <t>General Information</t>
  </si>
  <si>
    <t>GNRL-01</t>
  </si>
  <si>
    <t>GNRL-02</t>
  </si>
  <si>
    <t>GNRL-03</t>
  </si>
  <si>
    <t>GNRL-04</t>
  </si>
  <si>
    <t>Web Link to Product Privacy Notice</t>
  </si>
  <si>
    <t>GNRL-05</t>
  </si>
  <si>
    <t>GNRL-06</t>
  </si>
  <si>
    <t>GNRL-07</t>
  </si>
  <si>
    <t>GNRL-08</t>
  </si>
  <si>
    <t>555-555-5555</t>
  </si>
  <si>
    <t>GNRL-09</t>
  </si>
  <si>
    <t>GNRL-10</t>
  </si>
  <si>
    <t>GNRL-11</t>
  </si>
  <si>
    <t>GNRL-12</t>
  </si>
  <si>
    <t>Instructions</t>
  </si>
  <si>
    <t>Additional Information</t>
  </si>
  <si>
    <t>Guidance</t>
  </si>
  <si>
    <t>Company Overview</t>
  </si>
  <si>
    <t>Describe your organization’s business background and ownership structure, including all parent and subsidiary relationships.</t>
  </si>
  <si>
    <t>Include circumstances that may involve off-shoring or multi-national agreements.</t>
  </si>
  <si>
    <t>COMP-02</t>
  </si>
  <si>
    <t>COMP-03</t>
  </si>
  <si>
    <t>COMP-04</t>
  </si>
  <si>
    <t>COMP-05</t>
  </si>
  <si>
    <t>COMP-06</t>
  </si>
  <si>
    <t>COMP-07</t>
  </si>
  <si>
    <t>THRD-01</t>
  </si>
  <si>
    <t>Ensure that all elements of THRD-01 are clearly stated in your response.</t>
  </si>
  <si>
    <t>THRD-02</t>
  </si>
  <si>
    <t>If more space is needed to sufficiently answer this question, provide reference to the document or add it as an appendix.</t>
  </si>
  <si>
    <t>THRD-04</t>
  </si>
  <si>
    <t xml:space="preserve">Are all components of the BCP reviewed at least annually and updated as needed to reflect change? </t>
  </si>
  <si>
    <t xml:space="preserve">Has your BCP been tested in the last year? </t>
  </si>
  <si>
    <t>CHNG-01</t>
  </si>
  <si>
    <t>CHNG-02</t>
  </si>
  <si>
    <t>CHNG-03</t>
  </si>
  <si>
    <t>CHNG-04</t>
  </si>
  <si>
    <t>Do clients have the option to not participate in or postpone an upgrade to a new release?</t>
  </si>
  <si>
    <t>CHNG-05</t>
  </si>
  <si>
    <t>CHNG-06</t>
  </si>
  <si>
    <t>CHNG-07</t>
  </si>
  <si>
    <t>CHNG-08</t>
  </si>
  <si>
    <t>CHNG-09</t>
  </si>
  <si>
    <t>CHNG-11</t>
  </si>
  <si>
    <t>CHNG-12</t>
  </si>
  <si>
    <t>DATA-01</t>
  </si>
  <si>
    <t>DATA-03</t>
  </si>
  <si>
    <t>DATA-04</t>
  </si>
  <si>
    <t>DATA-05</t>
  </si>
  <si>
    <t>DATA-07</t>
  </si>
  <si>
    <t>DATA-08</t>
  </si>
  <si>
    <t>DATA-09</t>
  </si>
  <si>
    <t>DATA-10</t>
  </si>
  <si>
    <t>DATA-11</t>
  </si>
  <si>
    <t>DATA-14</t>
  </si>
  <si>
    <t xml:space="preserve">Describe or provide a reference to the backup processes for the servers on which the service and/or data resides. </t>
  </si>
  <si>
    <t>DATA-15</t>
  </si>
  <si>
    <t>DATA-16</t>
  </si>
  <si>
    <t>If your backup strategy uses varying periods, ensure that each strategy is clearly stated and supported.</t>
  </si>
  <si>
    <t>DATA-17</t>
  </si>
  <si>
    <t>Are data backups encrypted?</t>
  </si>
  <si>
    <t>Do current backups include all operating system software, utilities, security software, application software, and data files necessary for recovery?</t>
  </si>
  <si>
    <t>Do procedures exist to ensure that retention and destruction of data meets established business and regulatory requirements?</t>
  </si>
  <si>
    <t>Does the hosting provider have a SOC 2 Type 2 report available?</t>
  </si>
  <si>
    <t>Do any of your servers reside in a co-located data center?</t>
  </si>
  <si>
    <t>Are your servers separated from other companies via a physical barrier, such as a cage or hardened walls?</t>
  </si>
  <si>
    <t>Does a physical barrier fully enclose the physical space preventing unauthorized physical contact with any of your devices?</t>
  </si>
  <si>
    <t>Are you utilizing a web application firewall (WAF)?</t>
  </si>
  <si>
    <t>Are you utilizing a stateful packet inspection (SPI) firewall?</t>
  </si>
  <si>
    <t>Do you have a documented policy for firewall change requests?</t>
  </si>
  <si>
    <t>Are audit logs available for all changes to the network, firewall, IDS, and IPS systems?</t>
  </si>
  <si>
    <t>Describe or provide a reference to the application's architecture and functionality.</t>
  </si>
  <si>
    <t>Does your organization have physical security controls and policies in place?</t>
  </si>
  <si>
    <t>Are video monitoring feeds retained?</t>
  </si>
  <si>
    <t>Are video feeds monitored by datacenter staff?</t>
  </si>
  <si>
    <t>Can you accommodate encryption requirements using open standards?</t>
  </si>
  <si>
    <t>Do you subject your code to static code analysis and/or static application security testing prior to release?</t>
  </si>
  <si>
    <t>Do you have software testing processes (dynamic or static) that are established and followed?</t>
  </si>
  <si>
    <t>Are information security principles designed into the product lifecycle?</t>
  </si>
  <si>
    <t>Do you have a systems management and configuration strategy that encompasses servers, appliances, and mobile devices (company and employee owned)?</t>
  </si>
  <si>
    <t>VULN-01</t>
  </si>
  <si>
    <t>VULN-02</t>
  </si>
  <si>
    <t>VULN-03</t>
  </si>
  <si>
    <t>Are your applications scanned for vulnerabilities prior to new releases?</t>
  </si>
  <si>
    <t>VULN-05</t>
  </si>
  <si>
    <t>VULN-06</t>
  </si>
  <si>
    <t>VULN-07</t>
  </si>
  <si>
    <t>VULN-08</t>
  </si>
  <si>
    <t xml:space="preserve">Describe or provide a reference to the tool(s) used to scan for vulnerabilities in your applications and systems. </t>
  </si>
  <si>
    <t>Personally Identifiable Information (PII)</t>
  </si>
  <si>
    <t>Credit Card Data/PCI</t>
  </si>
  <si>
    <t xml:space="preserve">Payroll Records </t>
  </si>
  <si>
    <t>Financial Records (e.g., budgetary, Form 10-k)</t>
  </si>
  <si>
    <t>Litigation related information</t>
  </si>
  <si>
    <t>Software source code</t>
  </si>
  <si>
    <t>Is the application available from a trusted source (e.g., iTunes App Store, Google Play Store, BB World)?</t>
  </si>
  <si>
    <t>Are all code artifacts run through automated validation of production-readiness?</t>
  </si>
  <si>
    <t>Can employees associated with the computing system access customer data/systems remotely?</t>
  </si>
  <si>
    <t xml:space="preserve">Does the computing system make use of mobile and/or GPS enabled mobile devices for access to data and functionality?  </t>
  </si>
  <si>
    <t>Describe or provide a reference to the capabilities available in the system to provide separation of duties between security administration and system administration functions for the computing system.</t>
  </si>
  <si>
    <t>Does your computing system have documented password/passphrase reset procedures that are currently implemented in the system and/or customer support?</t>
  </si>
  <si>
    <t>Does your computing system have any passwords/passphrases hard coded into your systems or products?</t>
  </si>
  <si>
    <t>Does your computing system have user account passwords/passphrases visible in administration modules?</t>
  </si>
  <si>
    <t>Is there a defined problem/issue escalation plan in your BCP for impacted clients of the computing system?</t>
  </si>
  <si>
    <t>Does the computing system support client customizations from one release to another?</t>
  </si>
  <si>
    <t>What mechanisms are configured/default for storage of data backups?</t>
  </si>
  <si>
    <t>Are your computing systems scanned externally and internally for vulnerabilities?</t>
  </si>
  <si>
    <t>Have your computing systems had an vulnerability assessment in the last year?</t>
  </si>
  <si>
    <t>Are there any regulatory requirements regarding the data to be provided to the third party? If so, please describe.</t>
  </si>
  <si>
    <t>Yes</t>
  </si>
  <si>
    <t>No</t>
  </si>
  <si>
    <t>Not Applicable</t>
  </si>
  <si>
    <t>Provide a general overview of the process used for your CMP. If you follow a specific industry standard or practice, provide a reference to it or attach additional documentation.</t>
  </si>
  <si>
    <t>Are versions other than the newest release supported?</t>
  </si>
  <si>
    <t>Do any of the encryption techniques you utilize rely on hardcoded keys or other cryptographic material?</t>
  </si>
  <si>
    <t>Will any sensitive data be stored on the mobile device or in device system logs?</t>
  </si>
  <si>
    <t>Are mobile devices that have been jailbroken allowed to be utilized?</t>
  </si>
  <si>
    <t>Do you use any open source code or freeware/shareware in the subject application?</t>
  </si>
  <si>
    <t>Product/Service Name</t>
  </si>
  <si>
    <t>Product Name and Version Information, or Service Name</t>
  </si>
  <si>
    <t>Product/Service Description</t>
  </si>
  <si>
    <t>Brief Description of the Product/Service</t>
  </si>
  <si>
    <t xml:space="preserve">Do you have a risk management policy, procedure, or program? </t>
  </si>
  <si>
    <t>Describe your authentication and authorization processes.</t>
  </si>
  <si>
    <t>Are structured databases encrypted?</t>
  </si>
  <si>
    <t>Additional Comments</t>
  </si>
  <si>
    <t>AC-1</t>
  </si>
  <si>
    <t>Additional Locations Aside from Corporate Headquarters</t>
  </si>
  <si>
    <t>Please provide any additional information or documentation that you believe would be pertinent to this assessment.</t>
  </si>
  <si>
    <t>Have you had a SOC 2 Type 2 audit conducted?</t>
  </si>
  <si>
    <t>City &amp; Country</t>
  </si>
  <si>
    <t>Does your computing system enforce password/passphrase complexity requirements?</t>
  </si>
  <si>
    <t>Are workstations and mobile devices encrypted?</t>
  </si>
  <si>
    <t>Please address, at a minimum, whether or not each of the following requires multi-factor: remote access, administrative access, access to any cloud environments (specify which require MFA and which do not).</t>
  </si>
  <si>
    <t>Please provide a network diagram and relevant information of how the offering/service is delivered. Information should, at a minimum, include details about network layers, segmentation, secure vlans, and firewalls.</t>
  </si>
  <si>
    <t>Does your computing system enforce password/passphrase aging requirements or equivalent controls?</t>
  </si>
  <si>
    <t>Change and Configuration Management</t>
  </si>
  <si>
    <t xml:space="preserve">Identity and Access Management </t>
  </si>
  <si>
    <t xml:space="preserve">Vulnerability Management </t>
  </si>
  <si>
    <t>Supply Chain and External Dependencies Management</t>
  </si>
  <si>
    <t>Cybersecurity Program Management</t>
  </si>
  <si>
    <t>Cybersecurity Tools &amp; Architecture</t>
  </si>
  <si>
    <t>At the completion of this contract, will measures be taken to ensure data is deleted securely, or managed as per the agreed upon contract?</t>
  </si>
  <si>
    <t>Do you have data retention policies that are relevant to this engagement?</t>
  </si>
  <si>
    <t>Data Protection</t>
  </si>
  <si>
    <t xml:space="preserve">Event and Incident Response </t>
  </si>
  <si>
    <t>Do you receive and take action on alerts in real time?</t>
  </si>
  <si>
    <t>Mobile Devices and Applications</t>
  </si>
  <si>
    <t xml:space="preserve">Which system(s) and product(s)? </t>
  </si>
  <si>
    <t xml:space="preserve">Does the application store, process, or transmit critical data, including operational information, personally identifiable information (PII), or critical energy infrastructure information (CEII)? </t>
  </si>
  <si>
    <t>Has the application been tested for vulnerabilities?</t>
  </si>
  <si>
    <t>Risk Management</t>
  </si>
  <si>
    <t>In addition to anti-virus, do you have other endpoint protection on your devices?</t>
  </si>
  <si>
    <t>Provide a sufficient description and/or details for each legal agreement in place.</t>
  </si>
  <si>
    <t>Workforce Management</t>
  </si>
  <si>
    <t>THRD-03</t>
  </si>
  <si>
    <t>COMP-01</t>
  </si>
  <si>
    <t>IAM-01</t>
  </si>
  <si>
    <t>IAM-02</t>
  </si>
  <si>
    <t>IAM-03</t>
  </si>
  <si>
    <t>IAM-04</t>
  </si>
  <si>
    <t>IAM-05</t>
  </si>
  <si>
    <t>IAM-07</t>
  </si>
  <si>
    <t>IAM-08</t>
  </si>
  <si>
    <t>IAM-09</t>
  </si>
  <si>
    <t>IAM-10</t>
  </si>
  <si>
    <t>IAM-11</t>
  </si>
  <si>
    <t>IAM-12</t>
  </si>
  <si>
    <t>IAM-13</t>
  </si>
  <si>
    <t>IAM-15</t>
  </si>
  <si>
    <t>IAM-16</t>
  </si>
  <si>
    <t>IAM-17</t>
  </si>
  <si>
    <t>IAM-18</t>
  </si>
  <si>
    <t>IAM-19</t>
  </si>
  <si>
    <t>CSPM-01</t>
  </si>
  <si>
    <t>CSPM-02</t>
  </si>
  <si>
    <t>CSPM-03</t>
  </si>
  <si>
    <t>CSPM-04</t>
  </si>
  <si>
    <t>CSPM-05</t>
  </si>
  <si>
    <t>CSPM-06</t>
  </si>
  <si>
    <t>CSPM-07</t>
  </si>
  <si>
    <t>CSPM-08</t>
  </si>
  <si>
    <t>CSPM-09</t>
  </si>
  <si>
    <t>CSPM-11</t>
  </si>
  <si>
    <t>CSPM-12</t>
  </si>
  <si>
    <t>CSPM-13</t>
  </si>
  <si>
    <t>CSPM-14</t>
  </si>
  <si>
    <t>CSPM-15</t>
  </si>
  <si>
    <t>CSPM-16</t>
  </si>
  <si>
    <t>CHNG-10</t>
  </si>
  <si>
    <t>CHNG-13</t>
  </si>
  <si>
    <t>CSTA-10</t>
  </si>
  <si>
    <t>CSTA-11</t>
  </si>
  <si>
    <t>CSTA-12</t>
  </si>
  <si>
    <t>CSTA-13</t>
  </si>
  <si>
    <t>CSTA-14</t>
  </si>
  <si>
    <t>CSTA-15</t>
  </si>
  <si>
    <t>CSTA-16</t>
  </si>
  <si>
    <t>CSTA-17</t>
  </si>
  <si>
    <t>CSTA-18</t>
  </si>
  <si>
    <t>CSTA-19</t>
  </si>
  <si>
    <t>CSTA-20</t>
  </si>
  <si>
    <t>CSTA-21</t>
  </si>
  <si>
    <t>CSTA-22</t>
  </si>
  <si>
    <t>CSTA-23</t>
  </si>
  <si>
    <t>DATA-02</t>
  </si>
  <si>
    <t>DATA-12</t>
  </si>
  <si>
    <t>DATA-13</t>
  </si>
  <si>
    <t>DATA-18</t>
  </si>
  <si>
    <t>EIR-01</t>
  </si>
  <si>
    <t>EIR-02</t>
  </si>
  <si>
    <t>EIR-03</t>
  </si>
  <si>
    <t>MOBL-01</t>
  </si>
  <si>
    <t>MOBL-02</t>
  </si>
  <si>
    <t>MOBL-03</t>
  </si>
  <si>
    <t>MOBL-04</t>
  </si>
  <si>
    <t>MOBL-05</t>
  </si>
  <si>
    <t>MOBL-06</t>
  </si>
  <si>
    <t>MOBL-07</t>
  </si>
  <si>
    <t>MOBL-08</t>
  </si>
  <si>
    <t>MOBL-09</t>
  </si>
  <si>
    <t>MOBL-10</t>
  </si>
  <si>
    <t>RISK-01</t>
  </si>
  <si>
    <t>RISK-02</t>
  </si>
  <si>
    <t>RISK-03</t>
  </si>
  <si>
    <t>RISK-04</t>
  </si>
  <si>
    <t>RISK-05</t>
  </si>
  <si>
    <t>RISK-06</t>
  </si>
  <si>
    <t>RISK-07</t>
  </si>
  <si>
    <t>RISK-08</t>
  </si>
  <si>
    <t>RISK-09</t>
  </si>
  <si>
    <t>RISK-10</t>
  </si>
  <si>
    <t>RISK-11</t>
  </si>
  <si>
    <t>RISK-12</t>
  </si>
  <si>
    <t>RISK-13</t>
  </si>
  <si>
    <t>RISK-14</t>
  </si>
  <si>
    <t>VULN-10</t>
  </si>
  <si>
    <t>VULN-11</t>
  </si>
  <si>
    <t>VULN-12</t>
  </si>
  <si>
    <t>VULN-13</t>
  </si>
  <si>
    <t>VULN-14</t>
  </si>
  <si>
    <t>Do you have a process or policy for administering administrative accounts?</t>
  </si>
  <si>
    <t>Does your organization have policies and/or procedures to ensure that only application software verifiable as authorized, tested, and approved for production is placed into production and/or released for client use?</t>
  </si>
  <si>
    <t>Do you have controls for preventing and responding to denial of service (DOS) and distributed denial of service (DDoS) attacks?</t>
  </si>
  <si>
    <t>RISK-15</t>
  </si>
  <si>
    <t>Share any details that would help information security analysts assess your product/services.</t>
  </si>
  <si>
    <t>Please include failover and disaster recovery sites.</t>
  </si>
  <si>
    <t>CSPM-17</t>
  </si>
  <si>
    <t>Use this area to share information about your environment that will assist those who are assessing your company's data security program.</t>
  </si>
  <si>
    <t>Are audit logs available that include AT LEAST all of the following: login, logout, actions performed, and source IP address for your computing system?</t>
  </si>
  <si>
    <t>CSTA-24</t>
  </si>
  <si>
    <t>THRD-05</t>
  </si>
  <si>
    <t>IAM-20</t>
  </si>
  <si>
    <t>Do you require approval for access based on need for all personnel with access to your assets and/or facilities?</t>
  </si>
  <si>
    <t>IAM-21</t>
  </si>
  <si>
    <t>Ensure that all parts of the question are clearly stated in your response.</t>
  </si>
  <si>
    <t>IAM-22</t>
  </si>
  <si>
    <t>IAM-23</t>
  </si>
  <si>
    <t>IAM-24</t>
  </si>
  <si>
    <t>THRD-06</t>
  </si>
  <si>
    <t>THRD-07</t>
  </si>
  <si>
    <t>THRD-08</t>
  </si>
  <si>
    <t>THRD-09</t>
  </si>
  <si>
    <t>THRD-10</t>
  </si>
  <si>
    <t>RISK-16</t>
  </si>
  <si>
    <t>Do you use trusted and controlled distribution for electronic shipment of all products?</t>
  </si>
  <si>
    <t>CSPM-18</t>
  </si>
  <si>
    <t>RISK-17</t>
  </si>
  <si>
    <t>THRD-11</t>
  </si>
  <si>
    <t>THRD-12</t>
  </si>
  <si>
    <t>Do you document country of source for all components of any product provided to your customers?</t>
  </si>
  <si>
    <t>RISK-18</t>
  </si>
  <si>
    <t>RISK-19</t>
  </si>
  <si>
    <t>WFM-07</t>
  </si>
  <si>
    <t>WFM-06</t>
  </si>
  <si>
    <t>WFM-01</t>
  </si>
  <si>
    <t>WFM-02</t>
  </si>
  <si>
    <t>WFM-03</t>
  </si>
  <si>
    <t>WFM-04</t>
  </si>
  <si>
    <t>WFM-05</t>
  </si>
  <si>
    <t>IAM-25</t>
  </si>
  <si>
    <t>IAM-27</t>
  </si>
  <si>
    <t>RISK-20</t>
  </si>
  <si>
    <t>EIR-05</t>
  </si>
  <si>
    <t>EIR-06</t>
  </si>
  <si>
    <t>EIR-04</t>
  </si>
  <si>
    <t>EIR-07</t>
  </si>
  <si>
    <t>EIR-08</t>
  </si>
  <si>
    <t>EIR-09</t>
  </si>
  <si>
    <t>RISK-21</t>
  </si>
  <si>
    <t>THRD-13</t>
  </si>
  <si>
    <t>Does your information protection program include safeguards and notifications regarding the release of data to third parties?</t>
  </si>
  <si>
    <t>DATA-19</t>
  </si>
  <si>
    <t>DATA-20</t>
  </si>
  <si>
    <t>DATA-21</t>
  </si>
  <si>
    <t>Does your information protection program include data loss prevention tools and practices to identify, block, and/or remediate data loss?</t>
  </si>
  <si>
    <t>THRD-14</t>
  </si>
  <si>
    <t>VULN-15</t>
  </si>
  <si>
    <t>RISK-22</t>
  </si>
  <si>
    <t>Please provide the number of days to complete the assessment and implementation.</t>
  </si>
  <si>
    <t>DATA-22</t>
  </si>
  <si>
    <t>Do you implement process and controls to ensure system and information integrity?</t>
  </si>
  <si>
    <t>RISK-23</t>
  </si>
  <si>
    <t>Do you use a secure central software repository after software, patches, and firmware authenticity and integrity have been validated, so that authenticity and integrity checks do not need to be performed before each installation?</t>
  </si>
  <si>
    <t>CSPM-19</t>
  </si>
  <si>
    <t>CHNG-14</t>
  </si>
  <si>
    <t>Do you provide a specific list of, and justifications for, required logical ports (which may include limited ranges) and services required for its deliverables (either products or services)?</t>
  </si>
  <si>
    <t>VULN-16</t>
  </si>
  <si>
    <t>Please summarize the technical controls in "Additional Information."</t>
  </si>
  <si>
    <t>VULN-17</t>
  </si>
  <si>
    <t>VULN-18</t>
  </si>
  <si>
    <t>IAM-28</t>
  </si>
  <si>
    <t>RISK-25</t>
  </si>
  <si>
    <t>THRD-15</t>
  </si>
  <si>
    <t>Do you require your applicable third parties to have a designated privacy function responsible for its privacy policy and program as it relates to Privacy Data?</t>
  </si>
  <si>
    <t>RISK-26</t>
  </si>
  <si>
    <t xml:space="preserve">Do you have a documented and currently followed change management process (CMP) for the systems and networks under your control? </t>
  </si>
  <si>
    <t>Do you have a process to assess and apply security patches in your environment within a predetermined timeframe?</t>
  </si>
  <si>
    <t>CSPM-10</t>
  </si>
  <si>
    <t>CSTA-01</t>
  </si>
  <si>
    <t>CSTA-02</t>
  </si>
  <si>
    <t>CSTA-03</t>
  </si>
  <si>
    <t>CSTA-04</t>
  </si>
  <si>
    <t>CSTA-05</t>
  </si>
  <si>
    <t>CSTA-06</t>
  </si>
  <si>
    <t>CSTA-07</t>
  </si>
  <si>
    <t>CSTA-08</t>
  </si>
  <si>
    <t>CSTA-09</t>
  </si>
  <si>
    <t>DATA-23</t>
  </si>
  <si>
    <t>Do you have a process by which you confirm the source of software downloads and the integrity of the software downloaded prior to use in your environment?</t>
  </si>
  <si>
    <t>Do you have a process by which you verify and provide documentation that procured products (including third-party hardware, software, firmware, and services) have appropriate updates and patches installed prior to delivery?</t>
  </si>
  <si>
    <t>Do you have a training and awareness program for your application developers to ensure they are aware of current secure coding techniques and security risks in application development?</t>
  </si>
  <si>
    <t>Do you have a program through which you regularly exercise your incident response plan and make corrective actions based on issues identified during the exercise or during actual activation of the plan?</t>
  </si>
  <si>
    <t>Do you have a process through which you investigate whether computer viruses or malware are present in any software or patches before providing such software or patches?</t>
  </si>
  <si>
    <t>For access within supplier's system, does supplier have implemented internal controls to ensure it revokes access when an individual no longer requires access due to change in employment status or job duties?</t>
  </si>
  <si>
    <t>Are applications running on your computing systems scanned externally and internally for vulnerabilities on a recurring basis?</t>
  </si>
  <si>
    <t>NATF Criteria</t>
  </si>
  <si>
    <t>Upon deployment of a new asset, are privileged accounts removed, disabled, or renamed?</t>
  </si>
  <si>
    <t>Do you conduct an annual review of all individuals' access to your assets, systems, networks, information, and facilities to ensure access is still required?</t>
  </si>
  <si>
    <t>RISK-27</t>
  </si>
  <si>
    <t>WFM-08</t>
  </si>
  <si>
    <t>WFM-09</t>
  </si>
  <si>
    <t>WFM-10</t>
  </si>
  <si>
    <t>IAM-06</t>
  </si>
  <si>
    <t>IAM-29</t>
  </si>
  <si>
    <t>DATA-24</t>
  </si>
  <si>
    <t>DATA-25</t>
  </si>
  <si>
    <t>EIR-10</t>
  </si>
  <si>
    <t>EIR-12</t>
  </si>
  <si>
    <t>EIR-13</t>
  </si>
  <si>
    <t>Dun &amp; Bradstreet Number</t>
  </si>
  <si>
    <t>Annual Gross Revenue</t>
  </si>
  <si>
    <t>Number of Employees</t>
  </si>
  <si>
    <t>Number of Contractors</t>
  </si>
  <si>
    <t>Number of contractors the organization employs in countries other than the United States or Canada (indicate if none)</t>
  </si>
  <si>
    <t>GNRL-14</t>
  </si>
  <si>
    <t>GNRL-15</t>
  </si>
  <si>
    <t>GNRL-16</t>
  </si>
  <si>
    <t>GNRL-17</t>
  </si>
  <si>
    <t>GNRL-18</t>
  </si>
  <si>
    <t>GNRL-19</t>
  </si>
  <si>
    <t>GNRL-20</t>
  </si>
  <si>
    <t>Primary or Supporting for NATF Criteria</t>
  </si>
  <si>
    <t>Provide information on any mergers or acquisitions that have been publicly announced or completed with the last 5 years.</t>
  </si>
  <si>
    <t>Primary (22)</t>
  </si>
  <si>
    <t>Describe any other subsidiaries or divisions of identified parent organizations.</t>
  </si>
  <si>
    <t>COMP-09</t>
  </si>
  <si>
    <t>Primary (34)</t>
  </si>
  <si>
    <t>COMP-10</t>
  </si>
  <si>
    <t>Have you had pending or resolved product-related litigation in the last ten (10) years?
If yes, please provide a summary.</t>
  </si>
  <si>
    <t>COMP-11</t>
  </si>
  <si>
    <t>COMP-12</t>
  </si>
  <si>
    <t>COMP-13</t>
  </si>
  <si>
    <t>COMP-14</t>
  </si>
  <si>
    <t>COMP-15</t>
  </si>
  <si>
    <t>Supports (39)</t>
  </si>
  <si>
    <t>Supports (39, 45)</t>
  </si>
  <si>
    <t>Primary (2)</t>
  </si>
  <si>
    <t>Supports (48)</t>
  </si>
  <si>
    <t>Supports (49, 58)</t>
  </si>
  <si>
    <t>Primary (48)</t>
  </si>
  <si>
    <t>Primary (23)</t>
  </si>
  <si>
    <t>Supports (23, 59)</t>
  </si>
  <si>
    <t>Primary (39)</t>
  </si>
  <si>
    <t>Supports (55)</t>
  </si>
  <si>
    <t>Supports (4)</t>
  </si>
  <si>
    <t>Primary (3)</t>
  </si>
  <si>
    <t xml:space="preserve"> Represents 13</t>
  </si>
  <si>
    <t>Primary (11)
Supports (12)</t>
  </si>
  <si>
    <t>For access within supplier's system, does supplier revoke access when an individual no longer requires access due to change in employment status or job duties?</t>
  </si>
  <si>
    <t>Primary (12)</t>
  </si>
  <si>
    <t>Primary (10)</t>
  </si>
  <si>
    <t>Do you have a documented program for secure product development, including applying security controls and secure coding techniques, within the system development life cycle?</t>
  </si>
  <si>
    <t>Primary (47)</t>
  </si>
  <si>
    <t>Supports (47)</t>
  </si>
  <si>
    <t>WFM-11</t>
  </si>
  <si>
    <t>WFM-12</t>
  </si>
  <si>
    <t>Primary (1)</t>
  </si>
  <si>
    <t>Primary (5)
Supports (6)</t>
  </si>
  <si>
    <t>Primary (6)
Supports (7)</t>
  </si>
  <si>
    <t>Primary (8)</t>
  </si>
  <si>
    <t xml:space="preserve">Primary (7)
Supporting (6, 11, 12)
</t>
  </si>
  <si>
    <t>Primary (9)</t>
  </si>
  <si>
    <t>Primary (14)</t>
  </si>
  <si>
    <t>Primary (15)</t>
  </si>
  <si>
    <t>Primary (17)</t>
  </si>
  <si>
    <t>Primary (19)</t>
  </si>
  <si>
    <t>Primary (16)</t>
  </si>
  <si>
    <t>IAM-30</t>
  </si>
  <si>
    <t>Primary (21)
Supports (44)</t>
  </si>
  <si>
    <t>Supports (21)</t>
  </si>
  <si>
    <t>Supports (38)</t>
  </si>
  <si>
    <t>Supports (56)</t>
  </si>
  <si>
    <t>Primary (40)
Supports (2)</t>
  </si>
  <si>
    <t>Primary (46)</t>
  </si>
  <si>
    <t>Primary (24)</t>
  </si>
  <si>
    <t>Primary (54)</t>
  </si>
  <si>
    <t>Primary (58)</t>
  </si>
  <si>
    <t>Supports (53, 54)</t>
  </si>
  <si>
    <t>Primary (50)</t>
  </si>
  <si>
    <t>Primary (56)</t>
  </si>
  <si>
    <t>Supports (44)</t>
  </si>
  <si>
    <t>Supports (2)</t>
  </si>
  <si>
    <t>Supports (1)</t>
  </si>
  <si>
    <t>Primary (18)</t>
  </si>
  <si>
    <t>Primary (44)</t>
  </si>
  <si>
    <t>Primary (42)</t>
  </si>
  <si>
    <t>Supports (18)</t>
  </si>
  <si>
    <t>Supports (42)</t>
  </si>
  <si>
    <t>Primary (38)</t>
  </si>
  <si>
    <t>Primary (41)</t>
  </si>
  <si>
    <t>Primary (43)</t>
  </si>
  <si>
    <t>Primary (45)</t>
  </si>
  <si>
    <t>Primary (52)</t>
  </si>
  <si>
    <t>Primary (25)
Supporting (28, 36)</t>
  </si>
  <si>
    <t>Primary (28)</t>
  </si>
  <si>
    <t>Primary (36)</t>
  </si>
  <si>
    <t>30, 35</t>
  </si>
  <si>
    <t>Primary (30, 35)</t>
  </si>
  <si>
    <t>Supports (30, 36)</t>
  </si>
  <si>
    <t>If response plan is not exercised on an annual basis, please provide frequency.</t>
  </si>
  <si>
    <t>Primary (33)
Supports (25, 26, 34, 35)</t>
  </si>
  <si>
    <t>If response plan is not reviewed on an annual basis, please provide frequency.</t>
  </si>
  <si>
    <t>Primary (26, 31)</t>
  </si>
  <si>
    <t>Primary (32)</t>
  </si>
  <si>
    <t>Primary (27)</t>
  </si>
  <si>
    <t>Primary (29)</t>
  </si>
  <si>
    <t>Primary (60)
Supports (49)</t>
  </si>
  <si>
    <t>Supports (53, 58, 60)</t>
  </si>
  <si>
    <t>Represents 55 (with VULN-10)</t>
  </si>
  <si>
    <t>Primary (55)</t>
  </si>
  <si>
    <t>Primary (51)</t>
  </si>
  <si>
    <t>Primary (37)</t>
  </si>
  <si>
    <t>Primary (49)</t>
  </si>
  <si>
    <t>Primary (53)</t>
  </si>
  <si>
    <t>Supports (57)</t>
  </si>
  <si>
    <t>Supports (16)</t>
  </si>
  <si>
    <t>Primary (57)</t>
  </si>
  <si>
    <t>Primary (4)</t>
  </si>
  <si>
    <t>Represents 4</t>
  </si>
  <si>
    <t>Do you have legal agreements (i.e., contracts) in place with these third parties that address liability in the event of a data breach?</t>
  </si>
  <si>
    <t>Are the data centers staffed 24 hours a day, seven days a week (i.e., 24x7x365)?</t>
  </si>
  <si>
    <t>Energy (e.g., electric, gas) consumption information</t>
  </si>
  <si>
    <t>Operational asset information (e.g., ICS data)</t>
  </si>
  <si>
    <t>Please provide a data scheme listing of all data fields (e.g., names, addresses, account numbers, SSNs or derivations thereof, salary info, asset info, etc.) that will be accessed, processed, or stored by the third party.</t>
  </si>
  <si>
    <t>Do you have an established program that ensures the storage security at your site (e.g., chain of custody)?</t>
  </si>
  <si>
    <t>Have you established and do you maintain a program that ensures secure transport of assets based on risk need (e.g., chain of custody, tracking, enhanced packaging)?</t>
  </si>
  <si>
    <t>What type of access requires multi-factor authentication (e.g., any access, remote access, admin access, etc.)?</t>
  </si>
  <si>
    <t>Please describe your process for administering production systems (e.g., multi-factor authentication, jump hosts, etc.).</t>
  </si>
  <si>
    <t>Does your computing system support centralized authentication services (e.g., Active Directory/ADFS, SAML, SSO, LDAP) in place of local authentication?</t>
  </si>
  <si>
    <t>Does your information protection program include secure deletion (e.g., degaussing/cryptographic wiping) or destruction of sensitive data, including archived or backed-up data?</t>
  </si>
  <si>
    <t>Do you implement encryption or technologies to restrict access to and obfuscate data in transit (e.g., cryptography, public key infrastructure (PKI), fingerprints, cipher hash)?</t>
  </si>
  <si>
    <t>Are there any OS (e.g., servers, PCs, switches, routers, etc.) that are not currently supported?</t>
  </si>
  <si>
    <t>Have you had a breach affecting your customers in the last 5 years? Please provide information about response, including initiation of your incident response plan.</t>
  </si>
  <si>
    <t>Have you had any bonding company requests to intervene or make payments on supplier's behalf for any product manufacturing/development in the last ten (10) years.
If yes, please provide a summary.</t>
  </si>
  <si>
    <t>Do you have dedicated teams for different development and customer assistance functions (e.g., customer support, implementation, product management, etc.)?</t>
  </si>
  <si>
    <t>Describe or provide references to your third-party risk management strategy or provide additional information that may help analysts better understand your environment and how it relates to third-party solutions.</t>
  </si>
  <si>
    <t>Does your policy include a requirement to implement processes designed to ensure that all agreements or contracts with your service provider(s) contain specific clauses to protect data or systems when accessed, processed, or stored by its third-party suppliers/service providers?</t>
  </si>
  <si>
    <t>Do you have third-party assessment(s) and/or certification(s) you have conducted to assess your cybersecurity practices? If yes, please describe the assessment or certification, date last completed, and frequency of re-assessment in the Additional Information column.</t>
  </si>
  <si>
    <t>Have you established and do you maintain a security management program that validates the authenticity and origin of third-party hardware, firmware, and software including open source code?</t>
  </si>
  <si>
    <t xml:space="preserve">Do you perform background screenings or multi-state background checks, including seven-year criminal background checks, on all personnel, including employees, contractors, and subcontractors, prior to their first day of work? </t>
  </si>
  <si>
    <t>Do you have a process by which you determine whether any employee, contractor, or subcontractor appears on any list of prohibited persons maintained by any government authority ("Prohibited Lists"), including but not limited to the list of "Specially Designated Nationals and Other Blocked Persons" maintained by the United States Department of Treasury, and the "Denied Persons List" maintained by the Bureau of Industry &amp; Security?</t>
  </si>
  <si>
    <t>Do you establish and maintain an identity and access management program that ensures sustainable, secure product manufacturing and development?</t>
  </si>
  <si>
    <t>Does your computing system application support multi-factor authentication (e.g., Duo, Google Authenticator, OTP, etc.)?</t>
  </si>
  <si>
    <t>Describe or provide a reference to the (a) computing system capability to log security/authorization changes as well as user and administrator security events (i.e., physical or electronic) (e.g., login failures, access denied, changes accepted) and (b) requirements necessary to implement logging and monitoring on the computing system. Include information about SIEM/log collector usage.</t>
  </si>
  <si>
    <t>Do you have process(es) and procedure(s) documented, and currently followed, that require a review and update of the access-list(s) for privileged accounts?</t>
  </si>
  <si>
    <t>Describe or provide a reference that details how administrator access is handled (e.g., provisioning, principle of least privilege, deprovisioning, etc.).</t>
  </si>
  <si>
    <t>Have overall system and/or application architecture diagrams, including a full description of the data communications architecture, been developed and documented for the product(s) and/or service(s) being purchased?</t>
  </si>
  <si>
    <t>Do you have a media handling process (that is documented and currently implemented) including end-of-life, repurposing, and data sanitization procedures?</t>
  </si>
  <si>
    <t>Do you establish and maintain a security program for your environment, including implemented processes to approve software, patches, and firmware prior to installation, as well as to verify the integrity and authenticity of the software, patches and firmware relevant to any technologies or equipment used in the development, manufacturing, testing, assembly, and distribution of the product(s) or service(s)?</t>
  </si>
  <si>
    <t xml:space="preserve">Do you have and follow documented operating procedures and technological controls to ensure the effective management, operation, integrity, and security of information systems and data? </t>
  </si>
  <si>
    <t>Do you have a disaster recovery plan (DRP) for your computing systems?</t>
  </si>
  <si>
    <t>Do you have an implemented system configuration management process (e.g., secure "gold" images, etc.)?</t>
  </si>
  <si>
    <t>Do you have policy(ies) and procedure(s), currently implemented, managing how critical patches are released and/or applied to all systems and applications?</t>
  </si>
  <si>
    <t>Do you have policy(ies) and procedure(s), currently implemented, guiding how security risks are mitigated until patches can be applied?</t>
  </si>
  <si>
    <t>Is appropriate segregation of duties maintained among those requesting, approving, and provisioning access?</t>
  </si>
  <si>
    <t>State and describe who has the authority to change firewall rules.</t>
  </si>
  <si>
    <t>Does your information protection program include managing and securing data at rest to ensure confidentiality, integrity, and availability (e.g., supplier implements encryption or technology to restrict access and obfuscate sensitive data)?</t>
  </si>
  <si>
    <t>Do you have a cryptographic key management process (generation, exchange, storage, safeguards, use, vetting, and replacement), that is documented and currently implemented, for all system components (e.g., database, system, web, etc.)?</t>
  </si>
  <si>
    <t>Are you performing off site backups (i.e., digitally/physically moved off site)?</t>
  </si>
  <si>
    <t>Are employee mobile devices managed by your company's mobile device management (MDM) platform?</t>
  </si>
  <si>
    <t>Do you have the ability to send automated notifications of and respond to software, patches, and firmware integrity violations?</t>
  </si>
  <si>
    <t>Do you have a process through which you ensure that products provided by you are not required to reside on out-of-date or out-of-support technologies?</t>
  </si>
  <si>
    <t>Have you implemented processes designed to ensure all of your network connections and devices are adequately tracked, managed, and controlled to protect against threats and to maintain security for the systems and applications using the network?</t>
  </si>
  <si>
    <r>
      <t>Are there any web browsers that are not currently supported?</t>
    </r>
    <r>
      <rPr>
        <u/>
        <sz val="11"/>
        <color theme="1"/>
        <rFont val="Verdana"/>
        <family val="2"/>
      </rPr>
      <t xml:space="preserve"> </t>
    </r>
  </si>
  <si>
    <t>GNRL-01 through GNRL-20; populated by the supplier</t>
  </si>
  <si>
    <t>http://www.supplier.domain/privacynotice</t>
  </si>
  <si>
    <t>Robust answers from the supplier improve the quality and efficiency of the security assessment process.</t>
  </si>
  <si>
    <t>Supplier Name</t>
  </si>
  <si>
    <t>Supplier Website URL(s)</t>
  </si>
  <si>
    <t>Supplier URL</t>
  </si>
  <si>
    <t>Supplier Corporate Headquarters Location</t>
  </si>
  <si>
    <t xml:space="preserve">Additional Countries with Supplier Presence </t>
  </si>
  <si>
    <t xml:space="preserve">Supplier Subsidiaries </t>
  </si>
  <si>
    <t>List Any Supplier Subsidiaries</t>
  </si>
  <si>
    <t>Supplier Parent(s)</t>
  </si>
  <si>
    <t xml:space="preserve">Supplier Parent(s) Subsidiaries and Divisions </t>
  </si>
  <si>
    <t>Supplier Parent(s) Subsidiaries and Divisions</t>
  </si>
  <si>
    <t>Supplier Contact Name</t>
  </si>
  <si>
    <t>Supplier Contact Title</t>
  </si>
  <si>
    <t>Supplier Contact Email</t>
  </si>
  <si>
    <t>Supplier Contact E-mail Address</t>
  </si>
  <si>
    <t>Supplier Contact Phone Number</t>
  </si>
  <si>
    <t>Ensure that all elements of IAM-25 are clearly stated in your response.</t>
  </si>
  <si>
    <t>Version History:</t>
  </si>
  <si>
    <t>Date</t>
  </si>
  <si>
    <t>Version</t>
  </si>
  <si>
    <t>Ensure that all parts are clearly stated in your response.</t>
  </si>
  <si>
    <t>Ensure that all elements are clearly stated in your response.</t>
  </si>
  <si>
    <t>Ensure that all elements are clearly stated in your response. (i.e., architecture AND functionality are defined)</t>
  </si>
  <si>
    <t>Represents 55 (with RISK-05)</t>
  </si>
  <si>
    <t>Are development environments and systems separate or segmented from the main corporate network and any other networks?</t>
  </si>
  <si>
    <t>Date Submitted</t>
  </si>
  <si>
    <t>WFM-01.1</t>
  </si>
  <si>
    <t>Do you perform recurring background checks for personnel on a periodic basis after initial hire date?</t>
  </si>
  <si>
    <t>Revision Notes</t>
  </si>
  <si>
    <t xml:space="preserve">Other – Please explain:  </t>
  </si>
  <si>
    <t>Initial version posted</t>
  </si>
  <si>
    <t>Corrected cell name for reference  in G113 and G114</t>
  </si>
  <si>
    <t>Bulk Electric System (BES) Cyber System Information (BCSI)</t>
  </si>
  <si>
    <t>62, 63</t>
  </si>
  <si>
    <t>Critical Energy Infrastructure Information (CEII) (Defined term at https://www.ferc.gov/enforcement-legal/ceii)</t>
  </si>
  <si>
    <t>Do you monitor for intrusions on a 24x7x365 basis with 24x7 response and evaluation?</t>
  </si>
  <si>
    <t>DATA-26</t>
  </si>
  <si>
    <t>CSPM-20</t>
  </si>
  <si>
    <t>Do you maintain an asset management program that requires an inventory of IT and OT hardware, software, information assets (e.g., databases)?</t>
  </si>
  <si>
    <t>Purchaser Account Information</t>
  </si>
  <si>
    <t>Do you have a process by which you will notify purchaser when production and/or operation of products and/or services changes to another supplier or location?</t>
  </si>
  <si>
    <t xml:space="preserve">Do you require employees to have a completed agreement and review information security policies including, but not limited to, an Acceptable Use policy or equivalent?  </t>
  </si>
  <si>
    <t>Is security awareness and privacy training mandatory for all employees at least annually?</t>
  </si>
  <si>
    <t>Do you maintain a list of all individuals with access to your assets, systems, networks, information, and/or facilities including an access log of each sign in/out?</t>
  </si>
  <si>
    <t>Is media used for long-term retention of purchaser's business data and archival purposes stored in a secure, environmentally protected area?</t>
  </si>
  <si>
    <t>Does the process described in CSTA-06 adhere to DoD 5220.22-M and/or NIST SP 800-88 standards?</t>
  </si>
  <si>
    <t>Do you have a process through which you recommend actions to be taken by you and/or purchaser on a purchaser-controlled system to reduce the risk of recurrence of the same or similar security incident, including, as appropriate, the provision of action plans and mitigating controls?</t>
  </si>
  <si>
    <t>Do you have a means by which purchaser can verify the source of software, firmware, patch, and data downloads is authentic?</t>
  </si>
  <si>
    <t>Do you have a process or program through which you notify purchasers of vulnerabilities and/or material defects and remediations of those items in the product(s) and service(s) supplied by you to them throughout the lifecycle of the product or services provided, to include any vulnerabilities identified and unresolved prior to deployment of product(s) in the customer's environment?</t>
  </si>
  <si>
    <t>Do you have secure system hardening guidelines and procedures for products developed or provided by you to purchaser?</t>
  </si>
  <si>
    <t>Have your systems undergone penetration testing (internal or by third party)?</t>
  </si>
  <si>
    <t>Answer</t>
  </si>
  <si>
    <t>Weight</t>
  </si>
  <si>
    <t>Score</t>
  </si>
  <si>
    <t>Total Score</t>
  </si>
  <si>
    <t>Category Score</t>
  </si>
  <si>
    <t>Historical versions are available at www.natf.net/industry-initiatives/supply-chain-industry-coordination.</t>
  </si>
  <si>
    <t>Annual revision for 2021</t>
  </si>
  <si>
    <t>Annual revision for 2022</t>
  </si>
  <si>
    <t>Annual revision for 2023</t>
  </si>
  <si>
    <t>Redline versions are available at www.natf.net/industry-initiatives/supply-chain-industry-coordination.</t>
  </si>
  <si>
    <t>Change Log</t>
  </si>
  <si>
    <t xml:space="preserve">Provide the findings reports from third-party verifications conducted for cybersecurity frameworks (provide the two most recent reports for each cybersecurity framework). </t>
  </si>
  <si>
    <t>Corrected various typos.
Added additional information to General Information section.
Added definition reference for CEII
Added check box and option for BCSI data
Added additional information to Qualifier section
Added clarifying text to QUAL-05
All font in column G for guidance changed to blue
Added new question WFM-01.1 for recurring background checks
Changed "another provider" to "another supplier" in THRD-09
Removed duplicate questions DATA-06, EIR-11, and RISK-28
Added clarifying text to EIR-12
Formatted cells to allow for text entry for following questions:  COMP-05, COMP-06, COMP-07, IAM-01, IAM-21, IAM-22, IAM-28, CHNG-07, CSTA-10, CSTA-13, CSTA-19, DATA-21, DATA-23, MOBL-02, and AC-1.</t>
  </si>
  <si>
    <t>Controlled Unclassified Information (CUI) (Defined term at https://www.ferc.gov/cui)</t>
  </si>
  <si>
    <t>IAM-16.1</t>
  </si>
  <si>
    <t>Do you have a policy that prohibits the use of shared accounts and/or shared credentials?</t>
  </si>
  <si>
    <t>Number of Contractors In Countries Other than the United States or Canada</t>
  </si>
  <si>
    <r>
      <t xml:space="preserve">Added note to General Information section
Updated use of </t>
    </r>
    <r>
      <rPr>
        <i/>
        <sz val="11"/>
        <rFont val="Calibri"/>
        <family val="2"/>
        <scheme val="minor"/>
      </rPr>
      <t xml:space="preserve">entity, utility, customer, </t>
    </r>
    <r>
      <rPr>
        <sz val="11"/>
        <rFont val="Calibri"/>
        <family val="2"/>
        <scheme val="minor"/>
      </rPr>
      <t>and</t>
    </r>
    <r>
      <rPr>
        <i/>
        <sz val="11"/>
        <rFont val="Calibri"/>
        <family val="2"/>
        <scheme val="minor"/>
      </rPr>
      <t xml:space="preserve"> purchaser</t>
    </r>
    <r>
      <rPr>
        <sz val="11"/>
        <rFont val="Calibri"/>
        <family val="2"/>
        <scheme val="minor"/>
      </rPr>
      <t xml:space="preserve"> throughout as appropriate
Added BCSI to QUAL-01
Removed duplicate question GNRL-13
Mapped COMP-05 ,06, and 07 to criteria 61, 62, and 63, respectively
Added clarifying text to WFM-11 and WFM-12
Removed duplicate question IAM-14 and maintained RISK-13
Added CSPM-20 regarding asset management
Added DATA-26 to address removable media
Added NATF Criteria 20 for RISK-07
Removed RISK-24 and merged with IAM-05
Removed VULN-04 and merged with VULN-18</t>
    </r>
  </si>
  <si>
    <r>
      <t xml:space="preserve">Merged Unformatted, Formatted, and Scorable Option versions into one questionnaire
  -Update document title
  -Removed Qualifier section and associated logic
  -Updated General Information and Instructions to include scoring information
Added link below version history table to historical versions of files
Added new tab for Change Log
Revised General Information section for use of </t>
    </r>
    <r>
      <rPr>
        <i/>
        <sz val="11"/>
        <rFont val="Calibri"/>
        <family val="2"/>
        <scheme val="minor"/>
      </rPr>
      <t xml:space="preserve">data
</t>
    </r>
    <r>
      <rPr>
        <sz val="11"/>
        <rFont val="Calibri"/>
        <family val="2"/>
        <scheme val="minor"/>
      </rPr>
      <t>Added reference to Revision Process in General Information section</t>
    </r>
    <r>
      <rPr>
        <i/>
        <sz val="11"/>
        <rFont val="Calibri"/>
        <family val="2"/>
        <scheme val="minor"/>
      </rPr>
      <t xml:space="preserve">
</t>
    </r>
    <r>
      <rPr>
        <sz val="11"/>
        <rFont val="Calibri"/>
        <family val="2"/>
        <scheme val="minor"/>
      </rPr>
      <t>Added CUI and reference to definition in Information Provided by Utility section
Added reference to Abbreviations and Definitions in Instructions section
Removed specific references to countries in COMP-05, 06, and 07
Mapped IAM-03 to new Supplier Criteria 1.1
Added new question IAM-16.1 for shared accounts and shared credentials
Reworded IAM-13, IAM-20, CSPM-10, RISK-19, RISK-20, VULN-07, and VULN-14 for clarity
Added clarifying text to CSPM-19, CSTA-17, DATA-20, DATA-26, RISK-15
Capitalized defined terms in EIR-01, EIR-02, EIR-04, EIR-07, EIR-08, EIR-09, and EIR-10
Removed duplicative question VULN-09 which is covered in VULN-01</t>
    </r>
  </si>
  <si>
    <t>Provide a list of countries in which supplier operates (has an office, sells product, or conducts any business) and describe activities conducted in each.</t>
  </si>
  <si>
    <t>Provide a list of countries in which supplier's product (i.e., hardware, software, firmware, or components) is manufactured or developed and describe activities conducted in each.</t>
  </si>
  <si>
    <t>Provide a list of countries in which supplier's product (i.e., hardware, software, firmware, or components) is assembled and describe activities conducted in each.</t>
  </si>
  <si>
    <t>Are user account passwords/passphrases/credentials encrypted when in transit and at rest?</t>
  </si>
  <si>
    <t>Do you digitally sign, validate, and provide a way for entities to validate software, patches, and firmware prior to distribution?</t>
  </si>
  <si>
    <t>Is the service hosted in a high-availability environment (i.e., redundant power, hardware, software, and network accessibility; no single point of failure)?</t>
  </si>
  <si>
    <t>Does your product or service employ encryption technologies (e.g., SSH, SSL/TLS, VPN) when transmitting sensitive information over TCP/IP networks (e.g., system-to-system and system-to-client)?</t>
  </si>
  <si>
    <t>Are controls in place to ensure that your systems and/or processes prohibit/limit the use of external storage and removable media?</t>
  </si>
  <si>
    <t>Does your company have a Cyber Security Incident response plan/process, including when notification would be provided to purchaser?</t>
  </si>
  <si>
    <t>Does your Cyber Security Incident response plan contain a requirement to notify purchasers of the impacted products or services within 24 hours of initiation of your plan?</t>
  </si>
  <si>
    <t>Does your Cyber Security Incident response plan include a requirement to perform an after-action review, demonstrate corrective actions (e.g., lessons learned), and update your plan accordingly?</t>
  </si>
  <si>
    <t>Do you review and update your Cyber Security Incident response plan at least annually?</t>
  </si>
  <si>
    <t>Have you taken appropriate action in response to assessment(s) of your Cyber Security Incident response plan/process?</t>
  </si>
  <si>
    <t>Does your Cyber Security Incident response plan contain clear roles and responsibilities that include coordination of responses to your purchaser(s)?</t>
  </si>
  <si>
    <t>Does your Cyber Security Incident response plan contain steps to identify, contain, eradicate, and recover?</t>
  </si>
  <si>
    <t>Do you have up-to-date antimalware on all end nodes?</t>
  </si>
  <si>
    <t>Does your cybersecurity program conform with a specific industry standard security framework (e.g., NIST Cybersecurity Framework, ISO 27001, etc.)?</t>
  </si>
  <si>
    <t>Do you have a process to remediate any security risks identified by purchaser, their representative, or any industry-recognized vulnerability research or assessment organization within a pre-negotiated timeframe?</t>
  </si>
  <si>
    <t>Do you allow third parties to perform security testing of your systems and/or application provided that testing is performed at a mutually agreed upon time and date?</t>
  </si>
  <si>
    <t>Annual revision for 2024</t>
  </si>
  <si>
    <t>If this is not universally Yes or No, please identify for which subset (software, patches, or firmware) signing &amp; validation occurs.</t>
  </si>
  <si>
    <t xml:space="preserve">CIP-013-2 </t>
  </si>
  <si>
    <t>CIP-005-7</t>
  </si>
  <si>
    <t xml:space="preserve">CIP-010-4 </t>
  </si>
  <si>
    <t>NIST SP 800-161r1</t>
  </si>
  <si>
    <t>NIST SP 800-53r5</t>
  </si>
  <si>
    <t>NIST SP 800-171r2</t>
  </si>
  <si>
    <t>NIST</t>
  </si>
  <si>
    <t>IEC 62443</t>
  </si>
  <si>
    <t>62443-1-1:2009
62443-2-1:2010
62443-2-3:2015
62443-2-4:2017
62443-3-1:2009
62443-3-2:2020
62443-3-3:2013
62443‑4‑1:2018
62443-4-2:2019</t>
  </si>
  <si>
    <t>2-1 4.3.2.5
(no specific mention on M&amp;A)</t>
  </si>
  <si>
    <t>ISO 27001</t>
  </si>
  <si>
    <t>ISO/IEC 27001:2022</t>
  </si>
  <si>
    <t>SOC 2 / SOC for Supply Chain
/ SOC for Cybersecurity</t>
  </si>
  <si>
    <t>A.1.5.22</t>
  </si>
  <si>
    <t>A1.5.2</t>
  </si>
  <si>
    <t>2017 Trust Services Criteria</t>
  </si>
  <si>
    <t>CC2.3</t>
  </si>
  <si>
    <t>CC9.1</t>
  </si>
  <si>
    <t>R1.2.5</t>
  </si>
  <si>
    <t>SR-6</t>
  </si>
  <si>
    <t>A.1.5.21
A.1.5.23</t>
  </si>
  <si>
    <t>CC9.2</t>
  </si>
  <si>
    <t>SC-8</t>
  </si>
  <si>
    <t>SR-8</t>
  </si>
  <si>
    <t>A.1.5.20</t>
  </si>
  <si>
    <t>MP-4</t>
  </si>
  <si>
    <t>3.8.1</t>
  </si>
  <si>
    <t>2-1 4.3.3.3.2</t>
  </si>
  <si>
    <t>A.1.7.8</t>
  </si>
  <si>
    <t>CC6.4</t>
  </si>
  <si>
    <t>3-3 SR 3.4
4-1 SM-6</t>
  </si>
  <si>
    <t>A.1.5.19</t>
  </si>
  <si>
    <t>SI-2
SI-7</t>
  </si>
  <si>
    <t>3.11.2</t>
  </si>
  <si>
    <t>3-3 SR 3.3
3-3 SR 3.4
4-1 SM-9
4-1 SM-12</t>
  </si>
  <si>
    <t>A.1.8.8</t>
  </si>
  <si>
    <t>CC7.1</t>
  </si>
  <si>
    <t>PE-16</t>
  </si>
  <si>
    <t>2-1 4.3.3.3.9
2-4 SP.02.01</t>
  </si>
  <si>
    <t>A.1.7.9
A.1.7.10</t>
  </si>
  <si>
    <t>PI1.4</t>
  </si>
  <si>
    <t>SR-4</t>
  </si>
  <si>
    <t>3-3 SR 3.4
4-1 SM-3
4-1 SM-9</t>
  </si>
  <si>
    <t>PI1.2</t>
  </si>
  <si>
    <t>2-1 4.3.4.4.2</t>
  </si>
  <si>
    <t>A.1.5.14
A.1.5.20</t>
  </si>
  <si>
    <t>P6.1</t>
  </si>
  <si>
    <t>RA-5</t>
  </si>
  <si>
    <t>2-1 4.2.3.7
2-4 SP 02.02
3-2 ZCR 5.2
4-1 SVV-3</t>
  </si>
  <si>
    <t>PT-1</t>
  </si>
  <si>
    <t>R1.2.3</t>
  </si>
  <si>
    <t>PS-3</t>
  </si>
  <si>
    <t>3.9.1</t>
  </si>
  <si>
    <t>A.1.6.1</t>
  </si>
  <si>
    <t>CC1.4</t>
  </si>
  <si>
    <t>2-1 4.3.3.2.3
2-4 SP.01.04</t>
  </si>
  <si>
    <t>2-1 4.3.3.2.1
2-1 4.3.3.2.2
2-1 4.3.3.2.3
2-4 SP.01.04</t>
  </si>
  <si>
    <t>AC-2
AC-3</t>
  </si>
  <si>
    <t>AC-2
AC-3
PS-4</t>
  </si>
  <si>
    <t>3.1.1
3.1.2</t>
  </si>
  <si>
    <t>3-3 SR 1.3</t>
  </si>
  <si>
    <t>A.1.5.18</t>
  </si>
  <si>
    <t>CC6.3</t>
  </si>
  <si>
    <t>AC-3</t>
  </si>
  <si>
    <t>PS-4
PS-5</t>
  </si>
  <si>
    <t>3.9.2</t>
  </si>
  <si>
    <t>2-1 4.3.3.5.5
3-3 SR 1.3</t>
  </si>
  <si>
    <t>A.1.5.18
A.1.6.5</t>
  </si>
  <si>
    <t>CC6.2</t>
  </si>
  <si>
    <t>SA-3</t>
  </si>
  <si>
    <t>2-1 4.3.4.3.4
4-1 SM-1</t>
  </si>
  <si>
    <t>A.1.8.25
A.1.8.28</t>
  </si>
  <si>
    <t>CC8.1</t>
  </si>
  <si>
    <t>SA-16</t>
  </si>
  <si>
    <t>3.2.2</t>
  </si>
  <si>
    <t>2-1 4.3.2.4.1
4-1 SM-4</t>
  </si>
  <si>
    <t>A.1.6.3</t>
  </si>
  <si>
    <t>CC2.1</t>
  </si>
  <si>
    <t>PS-6</t>
  </si>
  <si>
    <t>2-4 SP.01.03</t>
  </si>
  <si>
    <t>A.1.6.2
A.1.6.6</t>
  </si>
  <si>
    <t>CC5.3</t>
  </si>
  <si>
    <t>AT-2</t>
  </si>
  <si>
    <t>3.2.1</t>
  </si>
  <si>
    <t>2-1 4.3.2.4.1
2-4 SP.01.01</t>
  </si>
  <si>
    <t>CC2.2</t>
  </si>
  <si>
    <t>R1.2.6</t>
  </si>
  <si>
    <t>AC-2
IA-2</t>
  </si>
  <si>
    <t>2-1 4.3.3.5.1
3-3 SR 1.3
3-3 SR 1.4</t>
  </si>
  <si>
    <t>A.1.5.15
A.1.5.16</t>
  </si>
  <si>
    <t>CC6.1</t>
  </si>
  <si>
    <t>IA-2</t>
  </si>
  <si>
    <t>3.5.3
3.7.5</t>
  </si>
  <si>
    <t>2-1 4.3.3.6.3
3-3 SR 1.1
3-3 SR 1.1
4-2 CR 1.1</t>
  </si>
  <si>
    <t>A.1.8.5</t>
  </si>
  <si>
    <t>AC-2
AC-24</t>
  </si>
  <si>
    <t>2-1 4.3.3.5.3
3-3 SR 1.3</t>
  </si>
  <si>
    <t>A.1.5.15
A.1.5.18</t>
  </si>
  <si>
    <t>AC-2</t>
  </si>
  <si>
    <t>3.1.1
3.5.1</t>
  </si>
  <si>
    <t>2-1 4.3.3.5.4
3-3 SR 1.3
3-3 SR 1.4</t>
  </si>
  <si>
    <t>2-1 4.3.3.5.6
3-3 SR 1.3</t>
  </si>
  <si>
    <t>CC6.2
CC6.4</t>
  </si>
  <si>
    <t>AC‑17</t>
  </si>
  <si>
    <t>AC-17</t>
  </si>
  <si>
    <t>3.1.12</t>
  </si>
  <si>
    <t>2-1 4.3.3.6.6
2-4 SP.07.01</t>
  </si>
  <si>
    <t>A.1.6.7</t>
  </si>
  <si>
    <t>2-1 4.3.3.6.5
2-4 SP.07.04</t>
  </si>
  <si>
    <t>AC-12
AC‑17
SC-10</t>
  </si>
  <si>
    <t>3.1.11
3.13.9</t>
  </si>
  <si>
    <t>2-1 4.3.3.6.8
2-4 SP.07.02
3-3 SR 2.6
4-2 CR 2.6</t>
  </si>
  <si>
    <t>AC-4
SC-7</t>
  </si>
  <si>
    <t>3.1.3
3.13.7</t>
  </si>
  <si>
    <t>2-4 SP.03.02
3-3 SR 5.2</t>
  </si>
  <si>
    <t>A.1.8.3</t>
  </si>
  <si>
    <t>CC6.6</t>
  </si>
  <si>
    <t>IA-5</t>
  </si>
  <si>
    <t>3.5.8</t>
  </si>
  <si>
    <t>2-1 4.3.3.6.3
2-4 SP.09.06
3-3 SR 1.7
4-2 CR 1.7</t>
  </si>
  <si>
    <t>3.5.7</t>
  </si>
  <si>
    <t>2-1 4.3.3.6.3
2-4 SP.09.05
3-3 SR 1.7
4-2 CR 1.5</t>
  </si>
  <si>
    <t>3.5.1</t>
  </si>
  <si>
    <t>A.1.5.16</t>
  </si>
  <si>
    <t>SC-28</t>
  </si>
  <si>
    <t>IA-5
SC-28</t>
  </si>
  <si>
    <t>3.5.10</t>
  </si>
  <si>
    <t>2-4 SP.03.08
3-3 SR 1.5
4-2 CR 4.3</t>
  </si>
  <si>
    <t>A.1.8.24</t>
  </si>
  <si>
    <t>CC6.1
CC6.7</t>
  </si>
  <si>
    <t>IA-2
IA-5</t>
  </si>
  <si>
    <t>2-1 4.3.3.6.3
3-3 SR 1.1
4-2 CR 1.1</t>
  </si>
  <si>
    <t>AU-2
AU-3</t>
  </si>
  <si>
    <t>AU-2
AU-3
AU-6</t>
  </si>
  <si>
    <t>3.3.3</t>
  </si>
  <si>
    <t>3-3 SR 6.1</t>
  </si>
  <si>
    <t>A.1.8.15</t>
  </si>
  <si>
    <t>CC7.2</t>
  </si>
  <si>
    <t>2-1 4.3.3.7.3
2-4 SP.03.08
3-3 SR 1.1
3-3 SR 1.3</t>
  </si>
  <si>
    <t>A.1.5.15</t>
  </si>
  <si>
    <t>AC-6</t>
  </si>
  <si>
    <t>3.1.5</t>
  </si>
  <si>
    <t>2-4 SP.09.02
3-3 SR 2.1
4-1 SG-6
4-2 CR 2.1</t>
  </si>
  <si>
    <t>A.1.8.2</t>
  </si>
  <si>
    <t>AC-1
AC-6</t>
  </si>
  <si>
    <t>2-4 SP.09.01
3-3 SR 1.3
4-1 SG-6
4-2 CR 1.3</t>
  </si>
  <si>
    <t>2-1 4.3.3.5.1
2-1 4.3.3.5.6
3-3 SR 1.3</t>
  </si>
  <si>
    <t>2-1 4.3.3.5.2
2-4 SP.09.02
3-3 SR 1.3
3-3 SR 1.4</t>
  </si>
  <si>
    <t>2-1 4.3.3.2.2</t>
  </si>
  <si>
    <t>2-1 4.3.3.2.2
2-4 SP.01.04</t>
  </si>
  <si>
    <t>R1.2.1</t>
  </si>
  <si>
    <t>CP-2</t>
  </si>
  <si>
    <t>2-1 4.3.2.5</t>
  </si>
  <si>
    <t>A.1.5.30</t>
  </si>
  <si>
    <t>CC7.5</t>
  </si>
  <si>
    <t>CP-4</t>
  </si>
  <si>
    <t>2-1 4.3.2.5.7</t>
  </si>
  <si>
    <t>A1.3</t>
  </si>
  <si>
    <t>A.1.5.34</t>
  </si>
  <si>
    <t>P1.1</t>
  </si>
  <si>
    <t>2-1 4.2.3.5</t>
  </si>
  <si>
    <t>MP-1</t>
  </si>
  <si>
    <t>3.7.3
3.8.3</t>
  </si>
  <si>
    <t>2-1 4.3.4.4.4
2-4 SP.03.10</t>
  </si>
  <si>
    <t>A.1.7.10
A.1.7.14</t>
  </si>
  <si>
    <t>CC6.5
C1.2</t>
  </si>
  <si>
    <t>MP-6</t>
  </si>
  <si>
    <t>MP-6
SI-12</t>
  </si>
  <si>
    <t>3.8.3</t>
  </si>
  <si>
    <t>2-1 4.3.3.3.9
2-1 4.3.4.4.4</t>
  </si>
  <si>
    <t>A.1.7.14
A.1.8.10</t>
  </si>
  <si>
    <t>CC6.5
C1.2
P4.3</t>
  </si>
  <si>
    <t>CA-2</t>
  </si>
  <si>
    <t>2-4 SP.02.01
3-2 ZCR 5</t>
  </si>
  <si>
    <t>A.1.5.22
A.1.5.35</t>
  </si>
  <si>
    <t>CC3.1
CC3.2</t>
  </si>
  <si>
    <t>CM-3
SI-7</t>
  </si>
  <si>
    <t>3.4.3
3.4.4
3.4.5</t>
  </si>
  <si>
    <t>2-1 4.3.4.3
2-3 B.5.5
2-4 SP.02.01
2-4 SP.11.06
4-1 SM-6</t>
  </si>
  <si>
    <t>A.1.8.25
A.1.8.29
A.1.8.31
A.1.8.33</t>
  </si>
  <si>
    <t>CC7.1
CC8.1</t>
  </si>
  <si>
    <t>SI-7</t>
  </si>
  <si>
    <t>2-3 B.7.5
3-3 SR 1.9
4-1 SM-12
4-2 CR 1.9</t>
  </si>
  <si>
    <t>SC-1
PL-2</t>
  </si>
  <si>
    <t>SC-1
PL-2
PM-1</t>
  </si>
  <si>
    <t>3.13.16
3.14.7</t>
  </si>
  <si>
    <t>2-4 SP.03.10 RE(3)
3-3 SR 3.4
3-3 SR 4.1
4-2 CR 3.4
4-2 CR 4.1</t>
  </si>
  <si>
    <t>A.1.5.1
A.1.8.3
A.1.8.11
A.1.8.24</t>
  </si>
  <si>
    <t>CC6.1
CC6.6
CC6.7</t>
  </si>
  <si>
    <t>IR-6</t>
  </si>
  <si>
    <t>3.6.1
3.6.2</t>
  </si>
  <si>
    <t>2-1 4.3.4.5.9
2-4 SP.08.01</t>
  </si>
  <si>
    <t>CC7.4</t>
  </si>
  <si>
    <t>2-1 4.3.4.3.9
2-4 SP.12.09</t>
  </si>
  <si>
    <t>PL-2</t>
  </si>
  <si>
    <t>A.1.5.1</t>
  </si>
  <si>
    <t>SI-12</t>
  </si>
  <si>
    <t>2-4 SP.03.10 RE(2)</t>
  </si>
  <si>
    <t>A.1.7.10</t>
  </si>
  <si>
    <t>P4.2</t>
  </si>
  <si>
    <t>2-1 4.3.4.4.4
2-4 SP.03.10 RE(2)</t>
  </si>
  <si>
    <t>CM-8
PM-5</t>
  </si>
  <si>
    <t>3.4.1</t>
  </si>
  <si>
    <t>2-4 SP.06.02</t>
  </si>
  <si>
    <t>A.1.5.9</t>
  </si>
  <si>
    <t>CM-1
CM-3</t>
  </si>
  <si>
    <t>3.4.3</t>
  </si>
  <si>
    <t>2-1 4.3.4.3.2
2-3 B.8.2</t>
  </si>
  <si>
    <t>A.1.8.32</t>
  </si>
  <si>
    <t>CM-3</t>
  </si>
  <si>
    <t>3-3 SR 3.3
3-3 SR 3.4
4-1 SM-1
4-2 CR 3.3
4-2 CR 3.4</t>
  </si>
  <si>
    <t>A.1.8.25</t>
  </si>
  <si>
    <t>SI-2</t>
  </si>
  <si>
    <t>3.14.1</t>
  </si>
  <si>
    <t>2-1 4.3.4.3.7
2-3 B.7.1
2-4 SP.11.02
4-1 SUM-5</t>
  </si>
  <si>
    <t>CC7.1
CC7.5
CC8.1</t>
  </si>
  <si>
    <t>CM-7</t>
  </si>
  <si>
    <t>3.4.7</t>
  </si>
  <si>
    <t>2-4 SP.02.03 BR</t>
  </si>
  <si>
    <t>CM-1
CM-2</t>
  </si>
  <si>
    <t>2-1 4.3.4.3.2
2-3 B.8.5
2-4 SP.02.03 BR
3-3 SR 7.6
4-1 SG-3
4-2 CR 7.6</t>
  </si>
  <si>
    <t>A.1.8.9</t>
  </si>
  <si>
    <t>CM-1</t>
  </si>
  <si>
    <t>3.4.1
3.4.2</t>
  </si>
  <si>
    <t>2-1 4.3.4.3.2
3-3 SR 7.6
4-2 CR 7.6</t>
  </si>
  <si>
    <t>CM-1
CM-9</t>
  </si>
  <si>
    <t>CM-4</t>
  </si>
  <si>
    <t>3.4.4</t>
  </si>
  <si>
    <t>2-1 4.3.4.3.2
2-1 4.3.4.3.3</t>
  </si>
  <si>
    <t>SI-1
SI-2</t>
  </si>
  <si>
    <t>2-1 4.3.4.3.7
2-3 Annex B
3-3 SR 7.4
2-4 SP.11.01
4-1 SUM-5</t>
  </si>
  <si>
    <t>CC7.5
CC8.1</t>
  </si>
  <si>
    <t>2-4 SP.11.02</t>
  </si>
  <si>
    <t>3.8.1
3.13.16</t>
  </si>
  <si>
    <t>2-4 SP.03.10
3-3 SR 4.1
4-2 CR 4.1</t>
  </si>
  <si>
    <t>PE-3</t>
  </si>
  <si>
    <t>3.10.1</t>
  </si>
  <si>
    <t>A.1.7.1</t>
  </si>
  <si>
    <t>PE-13</t>
  </si>
  <si>
    <t>2-1 4.3.3.3.4</t>
  </si>
  <si>
    <t>A.1.7.5</t>
  </si>
  <si>
    <t>A1.2</t>
  </si>
  <si>
    <t>AC-5</t>
  </si>
  <si>
    <t>3.1.4</t>
  </si>
  <si>
    <t>2-1 4.3.3.7.3
3-3 SR 2.1
4-2 CR 2.1</t>
  </si>
  <si>
    <t>A.1.5.3</t>
  </si>
  <si>
    <t>CP-9</t>
  </si>
  <si>
    <t>3.8.9</t>
  </si>
  <si>
    <t>2-1 4.3.4.3.9
3-3 SR 7.3
4-2 CR 7.3</t>
  </si>
  <si>
    <t>A.1.8.13</t>
  </si>
  <si>
    <t>SC-7</t>
  </si>
  <si>
    <t>3.13.1</t>
  </si>
  <si>
    <t>2-1 4.3.3.4
3-3 SR 5.2</t>
  </si>
  <si>
    <t>2-1 4.3.3.4
3-3 SR 5.2
2-4 SP.03.02 RE(2)</t>
  </si>
  <si>
    <t>A.1.8.20</t>
  </si>
  <si>
    <t>SI-4</t>
  </si>
  <si>
    <t>3.14.6</t>
  </si>
  <si>
    <t>3-3 SR 6.1
4-2 CR 6.1
2-4 SP.08.02</t>
  </si>
  <si>
    <t>CC6.6
CC7.2</t>
  </si>
  <si>
    <t>CM-2
SA-3</t>
  </si>
  <si>
    <t>3-3 SR 5.1
4-2 CR 5.1</t>
  </si>
  <si>
    <t>A.1.8.22</t>
  </si>
  <si>
    <t>PE-3
SC-32</t>
  </si>
  <si>
    <t>PE-11</t>
  </si>
  <si>
    <t>3-3 SR 7.5
4-2 CR 7.5</t>
  </si>
  <si>
    <t>A.1.7.11</t>
  </si>
  <si>
    <t>PE-9
PE-11</t>
  </si>
  <si>
    <t>2-1 4.3.3.3.10
3-3 SR 7.5</t>
  </si>
  <si>
    <t>2-1 4.3.3.3.10</t>
  </si>
  <si>
    <t>AC-19</t>
  </si>
  <si>
    <t>3.1.18
3.1.19</t>
  </si>
  <si>
    <t>2-1 4.3.3.6.6
3-3 SR 2.3</t>
  </si>
  <si>
    <t>CC6.7</t>
  </si>
  <si>
    <t>AC-5
SC-3</t>
  </si>
  <si>
    <t>2-1 4.3.3.2.7
3-3 SR 2.1
4-2 CR 2.1</t>
  </si>
  <si>
    <t>CC5.1
CC6.3</t>
  </si>
  <si>
    <t>SC-5</t>
  </si>
  <si>
    <t>2-4 SP.08.04
3-3 SR 7.1
4-2 CR 7.1</t>
  </si>
  <si>
    <t>A.1.8.20
A.1.8.21</t>
  </si>
  <si>
    <t xml:space="preserve">3.1.12
3.1.13
3.13.16
</t>
  </si>
  <si>
    <t>2-4 SP.03.08 RE(2)
2-4 SP.03.10 BR
2-4 SP.07.04
3-3 SR 3.1
3-3 SR 3.4
3-3 SR 4.1
4-2 CR 3.1
4-2 CR 3.4
4-2 CR 4.1</t>
  </si>
  <si>
    <t>A.1.5.14
A.1.6.7
A.1.8.24</t>
  </si>
  <si>
    <t>3.13.16</t>
  </si>
  <si>
    <t>2-4 SP.03.08 RE(2)
2-4 SP.03.10
3-3 SR 3.4
3-3 SR 4.1
4-2 CR 3.4
4-2 CR 4.1</t>
  </si>
  <si>
    <t>A.1.8.3
A.1.8.24</t>
  </si>
  <si>
    <t xml:space="preserve">SC-8
</t>
  </si>
  <si>
    <t>SC-8
SC-12
SC-13</t>
  </si>
  <si>
    <t>3.8.6
3.13.8</t>
  </si>
  <si>
    <t>2-4 SP.03.08 RE(2)
2-4 SP.03.10
3-3 SR 3.1
3-3 SR 4.1
3-3 SR 4.3
4-2 CR 3.1
4-2 CR 4.1
4-2 CR 4.3</t>
  </si>
  <si>
    <t>2-4 SP.03.10
3-3 SR 4.1
3-3 SR 4.3
4-2 CR 4.1
4-2 CR 4.3</t>
  </si>
  <si>
    <t>2-1 4.3.4.3.9
2-4 SP.12.01
3-3 SR 7.3
4-2 CR 7.3</t>
  </si>
  <si>
    <t>SC-12</t>
  </si>
  <si>
    <t>3.13.10</t>
  </si>
  <si>
    <t>2-4 SP.03.08 RE(2)
2-4 SP.03.10 RE(1)
3-3 SR 4.3
4-2 CR 4.3</t>
  </si>
  <si>
    <t>MP-1
SC-1
SI-1
SI-4
PM-1</t>
  </si>
  <si>
    <t>All SP 800-171</t>
  </si>
  <si>
    <t>2-1 4.3.4.4.1
2-1 4.3.4.4.2
2-1 4.3.4.4.3
2-1 4.3.4.4.4</t>
  </si>
  <si>
    <t>A.1.5.1
A.1.5.8
A.1.5.12
A.1.5.13
A.1.5.33
A.1.6.6
A.1.8.3
A.1.8.12</t>
  </si>
  <si>
    <t>CC2.1
CC3.2
CC6.1
CC6.7
C1.1
P2.1
P4.2</t>
  </si>
  <si>
    <t>PM-11</t>
  </si>
  <si>
    <t>A.1.5.14
A.1.5.21</t>
  </si>
  <si>
    <t>CC2.1
CC3.1
CC6.7
C1.1</t>
  </si>
  <si>
    <t>3.1.1</t>
  </si>
  <si>
    <t>2-1 4.3.3.5.3
2-1 4.3.3.7.3
3-3 SR 2.1
4-2 CR 2.1</t>
  </si>
  <si>
    <t>CC6.1
CC6.2
CC6.3
CC6.4
CC6.6
CC6.7
C1.1</t>
  </si>
  <si>
    <t>SC-7
SC-8</t>
  </si>
  <si>
    <t>CP-9
SC-7
SC-8</t>
  </si>
  <si>
    <t>2-1 4.3.4.5.6
2-1 4.3.4.5.10
2-4 SP.12.01
3-3 SR 5.2
3-3 SR 7.3
4-2 CR 5.2
4-2 CR 7.3</t>
  </si>
  <si>
    <t>A.1.8.12
A.1.8.13</t>
  </si>
  <si>
    <t>SI-1</t>
  </si>
  <si>
    <t>3.14.3</t>
  </si>
  <si>
    <t>3-3 SR 6.2
4-2 CR 6.2
4-1 SM-6</t>
  </si>
  <si>
    <t>A.1.8.9
A.1.8.16</t>
  </si>
  <si>
    <t>CC6.6
CC7.1
CC7.2</t>
  </si>
  <si>
    <t>2-1 4.3.3.3.8</t>
  </si>
  <si>
    <t>A.1.7.4</t>
  </si>
  <si>
    <t>3-3 SR 4.3
4-2 CR 4.3
2-4 SP.03.10</t>
  </si>
  <si>
    <t>3.1.13
3.13.8</t>
  </si>
  <si>
    <t>2-4 SP.07.04
3-3 SR 4.1
4-2 CR 4.1</t>
  </si>
  <si>
    <t>A.1.5.14
A.1.8.24</t>
  </si>
  <si>
    <t>A.1.8.13
A.1.8.24</t>
  </si>
  <si>
    <t>3-3 SR 7.3
4-2 CR 7.3</t>
  </si>
  <si>
    <t>3.8.8</t>
  </si>
  <si>
    <t>3-3 SR 2.3</t>
  </si>
  <si>
    <t>Supports (44, 45)</t>
  </si>
  <si>
    <t>R1.2.1
R1.2.2</t>
  </si>
  <si>
    <t>R1.2.2</t>
  </si>
  <si>
    <t>IR-6
IR-8</t>
  </si>
  <si>
    <t>2-1 4.3.4.5.1
2-1 4.3.4.5.5
2-4 SP.08.01
4-1 DM-5</t>
  </si>
  <si>
    <t>A.1.5.24
A.1.5.26</t>
  </si>
  <si>
    <t>CC7.4
CC7.5</t>
  </si>
  <si>
    <t>3.6.2</t>
  </si>
  <si>
    <t>A.1.5.26
A.1.6.8</t>
  </si>
  <si>
    <t>2-1 4.3.4.5.5
2-1 4.3.4.5.9
2-4 SP.08.01
4-1 DM-5</t>
  </si>
  <si>
    <t>A.1.5.24
A.1.5.26
A.1.6.8</t>
  </si>
  <si>
    <t>CC7.4
CC7.5
CC9.2</t>
  </si>
  <si>
    <t>IR-4</t>
  </si>
  <si>
    <t>3.6.1</t>
  </si>
  <si>
    <t>2-1 4.3.4.5.8
2-1 4.3.4.5.10
2-4 SP.08.01</t>
  </si>
  <si>
    <t>A.1.5.27</t>
  </si>
  <si>
    <t>IR-3</t>
  </si>
  <si>
    <t>3.6.3</t>
  </si>
  <si>
    <t>2-1 4.3.4.5.11</t>
  </si>
  <si>
    <t>A.1.5.24</t>
  </si>
  <si>
    <t>IR-8</t>
  </si>
  <si>
    <t>2-4 SP.08.01
2-1 4.4.3.2</t>
  </si>
  <si>
    <t>A.1.5.27
A.1.5.35</t>
  </si>
  <si>
    <t>2-1 4.3.2.6
2-1 4.3.4.5.4
2-4 SP.08.01</t>
  </si>
  <si>
    <t>IR-4
IR-8</t>
  </si>
  <si>
    <t>2-4 SP.08.01
2-1 4.3.4.5.6
2-1 4.3.4.5.10</t>
  </si>
  <si>
    <t>IR-5</t>
  </si>
  <si>
    <t>3-3 SR 6.2
4-2 CR 6.2</t>
  </si>
  <si>
    <t>A.1.8.16</t>
  </si>
  <si>
    <t>CC7.2
CC7.3</t>
  </si>
  <si>
    <t>3-2 ZCR 6.6</t>
  </si>
  <si>
    <t>A.1.5.7</t>
  </si>
  <si>
    <t>CC7.3</t>
  </si>
  <si>
    <t>3.1.18</t>
  </si>
  <si>
    <t>A.1.8.1</t>
  </si>
  <si>
    <t>2-4 SP.03.08 RE(2)
2-4 SP.03.10
3-3 SR 3.4
3-3 SR 4.1
3-3 SR 4.3
4-2 CR 3.4
4-2 CR 4.1
4-2 CR 4.3</t>
  </si>
  <si>
    <t>SC-18</t>
  </si>
  <si>
    <t>3-3 SR 2.4
4-2 CR 2.4</t>
  </si>
  <si>
    <t>R1.2.4</t>
  </si>
  <si>
    <t>3.10.3
3.10.4
3.10.5</t>
  </si>
  <si>
    <t>2-1 4.3.3.3.2
2-1 4.3.3.3.8</t>
  </si>
  <si>
    <t>A.1.7.1
A.1.7.2
A.1.7.3
A.1.7.4</t>
  </si>
  <si>
    <t>CM-10</t>
  </si>
  <si>
    <t>AU-10
SI-7</t>
  </si>
  <si>
    <t>3-3 SR 3.1
3-3 SR 3.4
4-2 CR 3.1
4-2 CR 3.4</t>
  </si>
  <si>
    <t>SI-3</t>
  </si>
  <si>
    <t>3.14.2</t>
  </si>
  <si>
    <t>2-1 4.3.4.3.8
2-4 SP 02.02</t>
  </si>
  <si>
    <t>A.1.8.7
A.1.8.8</t>
  </si>
  <si>
    <t>CC6.8</t>
  </si>
  <si>
    <t>SA-10
SI-7</t>
  </si>
  <si>
    <t>2-4 SP.11.06 RE(3)</t>
  </si>
  <si>
    <t>A.1.5.21
A.1.5.22
A.1.5.26</t>
  </si>
  <si>
    <t>CC2.3
PI1.1</t>
  </si>
  <si>
    <t>SR-10
SR-11</t>
  </si>
  <si>
    <t>SI-5</t>
  </si>
  <si>
    <t>2-1 4.4.3.3
2-1 4.4.3.6
3-2 ZCR 6.6</t>
  </si>
  <si>
    <t>A.1.5.6
A.1.5.7</t>
  </si>
  <si>
    <t>CM-11
SI-4
RA-5</t>
  </si>
  <si>
    <t>3.4.9
3.11.2
3.13.8</t>
  </si>
  <si>
    <t>2-1 4.3.4.3.7
2-4 SP.11.01 BR
2-4 SP.11.02 BR
3-3 SR 3.1
3-3 SR 3.4
4-2 CR 3.1
4-2 CR 3.4</t>
  </si>
  <si>
    <t>A.1.5.19
A.1.5.20
A.1.5.22</t>
  </si>
  <si>
    <t>CC7.1
CC7.2</t>
  </si>
  <si>
    <t>3-3 FR 3
4-2 FR 3
4-1 SM-6</t>
  </si>
  <si>
    <t>A.1.8.4
A.1.8.19</t>
  </si>
  <si>
    <t>AC‑17
AC-20
SC-7</t>
  </si>
  <si>
    <t>3.1.12
3.1.14
3.1.18
3.4.7
3.5.1</t>
  </si>
  <si>
    <t>2-4 SP.03.07
3-3 SR 2.3
3-3 SR 7.6
4-2 CR 2.3
4-2 CR 7.6</t>
  </si>
  <si>
    <t>A.1.8.1
A.1.8.7
A.1.8.9</t>
  </si>
  <si>
    <t>CC6.1
CC6.3
CC6.6
CC6.7
CC6.8</t>
  </si>
  <si>
    <t>AC-17
AC-19
AC-20</t>
  </si>
  <si>
    <t>3.1.18
3.1.19
3.1.20</t>
  </si>
  <si>
    <t>2-4 SP.03.07
3-3 SR 2.3
4-2 CR 2.3</t>
  </si>
  <si>
    <t>A.1.8.1
A.1.8.9</t>
  </si>
  <si>
    <t>3.14.4</t>
  </si>
  <si>
    <t>2-1 4.3.4.3.8
4-2 SAR 3.2
2-4 SP.10.01</t>
  </si>
  <si>
    <t>A.1.8.7</t>
  </si>
  <si>
    <t>RA-1</t>
  </si>
  <si>
    <t>2-1 4.3.4.2</t>
  </si>
  <si>
    <t>MP-5</t>
  </si>
  <si>
    <t>3.8.5</t>
  </si>
  <si>
    <t>PE-6</t>
  </si>
  <si>
    <t>3.10.2</t>
  </si>
  <si>
    <t>SA-3
SA-8</t>
  </si>
  <si>
    <t>3.13.2</t>
  </si>
  <si>
    <t>2-1 4.3.4.3.1
4-1 SD-1</t>
  </si>
  <si>
    <t>2-1 4.2.3.7
2-4 SP 02.02
3-2 ZCR 5.2</t>
  </si>
  <si>
    <t>SA-11</t>
  </si>
  <si>
    <t>4-1 SVV-3</t>
  </si>
  <si>
    <t>A.1.8.29</t>
  </si>
  <si>
    <t>2-4 SP.02.01
4-1 SVV-3</t>
  </si>
  <si>
    <t>SI-2
IR-4</t>
  </si>
  <si>
    <t>2-1 4.3.4.3
2-1 4.3.4.5.9
2-4 SP.11.02
4-1 DM-5</t>
  </si>
  <si>
    <t>A.1.5.19
A.1.6.8
A.1.8.8</t>
  </si>
  <si>
    <t>CC2.3
CC7.4</t>
  </si>
  <si>
    <t>SI-2
SI-5
IR-4</t>
  </si>
  <si>
    <t>2-1 4.3.4.5.9
2-4 SP.11.02
4-1 DM-5</t>
  </si>
  <si>
    <t>CC2.3
CC7.1</t>
  </si>
  <si>
    <t>3-2 ZCR 5.8
3-2 ZCR 5.12
4-1 SUM-5</t>
  </si>
  <si>
    <t>CM-2</t>
  </si>
  <si>
    <t>2-4 SP.02.03</t>
  </si>
  <si>
    <t>2-4 SP 02.02
4-1 SVV-3</t>
  </si>
  <si>
    <t>2-1 4.3.4.3.1
4-1 SVV-3</t>
  </si>
  <si>
    <t>2-1 4.3.4.3
4-1 SM-1</t>
  </si>
  <si>
    <t>CA-8</t>
  </si>
  <si>
    <t>4-1 SVV-4
2-4 SP.02.01</t>
  </si>
  <si>
    <t>CC4.1</t>
  </si>
  <si>
    <t>2-1 4.3.4.5.3
2-1 4.3.4.5.5
2-1 4.3.4.5.9
2-4 SP.08.01
4-1 DM-5</t>
  </si>
  <si>
    <t>3.1.12
3.1.13
3.1.14
3.1.15</t>
  </si>
  <si>
    <t>Do you have cybersecurity risk insurance?
If yes, please provide coverage amounts.</t>
  </si>
  <si>
    <t>Primary (13)
Supports (8, 10, 11)</t>
  </si>
  <si>
    <t>Removed COMP-08 and merged with COMP-04
Reworded WFM-02 to match change in wording for Criteria 3
Reworded WFM-03 for clarity
Added guidance text to WFM-07, CSPM-04
Removed IAM-26 and merged with IAM-27
Added static guidance for CSPM-10
Reworded guidance for CSPM-13
Reworded RISK-20 to correct grammar and remove hyperlink
Added mappings to industry frameworks</t>
  </si>
  <si>
    <t>Primary (59)
Supports (20)</t>
  </si>
  <si>
    <t>NERC CIP Supply Chain Requirements</t>
  </si>
  <si>
    <t>Document ID: 1394</t>
  </si>
  <si>
    <t>Describe how long your organization has conducted business in this product area including existing energy sector customers.</t>
  </si>
  <si>
    <t>Include the number of years and in what capacity as well as a list of existing energy sector customer references.</t>
  </si>
  <si>
    <t>Does your computing system support role-based access control (RBAC) for end users/system administrators? (Depending on type of computing system, this may be your users internally, or potentially client users of your product.)</t>
  </si>
  <si>
    <t>Annual revision for 2025</t>
  </si>
  <si>
    <t>Questionnaire Area of Focus:</t>
  </si>
  <si>
    <t>Do you establish and maintain a process that ensures the security of system-to-system remote access including protection of data at rest and data in transit?</t>
  </si>
  <si>
    <t>PR.AT-01</t>
  </si>
  <si>
    <t>ID.RA-10
GV.SC-07</t>
  </si>
  <si>
    <t>Open Distribution for Supply Chain Materials</t>
  </si>
  <si>
    <t>Copyright © 2025 North American Transmission Forum (“NATF”). All rights reserved. The NATF permits the use of the content contained herein (“Content”) without modification; however, any such use must include this notice and reference the associated NATF document name and version number. The Content is provided on an “as is” basis. The NATF makes no and hereby disclaims all representations or warranties, either express or implied, relating to the Content. No liability is assumed by the NATF for any damages arising directly or indirectly from the Content or use thereof. Use of the Content constitutes agreement to defend, indemnify, and hold the NATF harmless from and against all claims arising from such use.</t>
  </si>
  <si>
    <t>Added guidance regarding applicability of other CIP standards not mapped in this resource.
CIP mappings updated to refer more specifically to their table or attachment, where applicable.
NIST Cybersecurity Framework Version 1.1 mappings updated to NIST Cybersecurity Framework 2.0
VULN-16 and guidance updated to incorporate more risk assessment formats
Supplier response columns consolidated to use area of focus drop-down box; instructions updated
Reworded IAM-13, DATA-10 for clarity
Reworded THRD-01, CSPM-04, DATA-08, DATA-09, DATA-14, RISK-21 to include artificial intelligence
Replaced instances of "utility" with "entity" for consistency and to avoid potential confusion</t>
  </si>
  <si>
    <t>Energy Sector Supply Chain Risk Questionnaire</t>
  </si>
  <si>
    <t>Version: 6.0</t>
  </si>
  <si>
    <r>
      <t>Copyright © 20</t>
    </r>
    <r>
      <rPr>
        <sz val="11"/>
        <rFont val="Calibri"/>
        <family val="2"/>
        <scheme val="minor"/>
      </rPr>
      <t>25</t>
    </r>
    <r>
      <rPr>
        <sz val="11"/>
        <color indexed="8"/>
        <rFont val="Calibri"/>
        <family val="2"/>
        <scheme val="minor"/>
      </rPr>
      <t xml:space="preserve"> North American Transmission Forum, Inc.</t>
    </r>
  </si>
  <si>
    <t>Notes</t>
  </si>
  <si>
    <t>Version 6.0</t>
  </si>
  <si>
    <r>
      <rPr>
        <b/>
        <sz val="20"/>
        <color theme="0" tint="-4.9989318521683403E-2"/>
        <rFont val="Verdana"/>
        <family val="2"/>
      </rPr>
      <t>Energy Sector Supply Chain Risk Questionnaire</t>
    </r>
    <r>
      <rPr>
        <b/>
        <sz val="20"/>
        <color theme="0"/>
        <rFont val="Verdana"/>
        <family val="2"/>
      </rPr>
      <t xml:space="preserve">
</t>
    </r>
    <r>
      <rPr>
        <b/>
        <sz val="16"/>
        <color theme="2" tint="-9.9978637043366805E-2"/>
        <rFont val="Verdana"/>
        <family val="2"/>
      </rPr>
      <t>Open Distribution for Supply Chain Materials</t>
    </r>
    <r>
      <rPr>
        <b/>
        <sz val="16"/>
        <color rgb="FFFF0000"/>
        <rFont val="Verdana"/>
        <family val="2"/>
      </rPr>
      <t xml:space="preserve">
</t>
    </r>
    <r>
      <rPr>
        <b/>
        <sz val="16"/>
        <color theme="0" tint="-0.249977111117893"/>
        <rFont val="Verdana"/>
        <family val="2"/>
      </rPr>
      <t>Copyright © 2025 North American Transmission Forum, Inc.</t>
    </r>
  </si>
  <si>
    <t xml:space="preserve">This questionnaire is intended for use by suppliers participating in a third-party security assessment and should be completed by the appropriate supplier's subject matter experts (e.g., cybersecurity, IT).
In order to protect the entity and its systems, suppliers whose products and/or services will access and/or host entity data must complete the Energy Sector Supply Chain Risk Questionnaire. The term "data" used throughout the tool is an all-encompassing term including at least data and metadata. Answers will be reviewed by entity security analysts upon submittal. This process will assist the entity in preventing breaches of protected information and comply with entity policy, state, and federal law. Review the Instructions section below for further guidance.
The purpose of this document is to provide an industry-wide supply chain questionnaire for cybersecurity for the energy sector to perform risk assessment. Entities may select questions pertaining to their specific business use as appropriate. However, it is recommended that the questionnaire be used in its entirety to reduce supply chain cybersecurity risk. All questions should remain in original format to promote consistency and efficiency within the industry. Other CIP Reliability standards not listed in the included mappings may also relate to the topics and practices mentioned in this document. 
The scoring option provides entities with a method to quickly and consistently evaluate responses from one or more suppliers. It uses a simple multiplication of Answer and Weight values ranging from 1 - 5 (5 being best) in a typical Likert scale to derive a per-question score. During evaluation of the completed questionnaire by the entity, the Weight value may be customized to reflect unique needs or priorities, while the Answer value should reflect how satisfactory the entity considers a given response. However, this option should not be relied upon as the singular determinant for procurement, risk, or other decisions, and should be used in conjunction with all existing processes that address those areas. 
For additional information, see the NATF Supply Chain Security Assessment Model. For details regarding annual revisions and timelines, see the Revision Process for the Energy Sector Supply Chain Risk Questionnaire and NATF Supply Chain Security Criteria at www.natf.net/industry-initiatives/supply-chain-industry-coordination. </t>
  </si>
  <si>
    <r>
      <t>Identify Types of Information Provided by</t>
    </r>
    <r>
      <rPr>
        <sz val="12"/>
        <color theme="0" tint="-4.9989318521683403E-2"/>
        <rFont val="Verdana"/>
        <family val="2"/>
      </rPr>
      <t xml:space="preserve"> Entity</t>
    </r>
    <r>
      <rPr>
        <sz val="12"/>
        <color theme="0"/>
        <rFont val="Verdana"/>
        <family val="2"/>
      </rPr>
      <t>; populated by the Supplier</t>
    </r>
  </si>
  <si>
    <r>
      <t>Select all that apply from the following list that is being provided by the</t>
    </r>
    <r>
      <rPr>
        <b/>
        <sz val="11"/>
        <rFont val="Verdana"/>
        <family val="2"/>
      </rPr>
      <t xml:space="preserve"> Entity</t>
    </r>
    <r>
      <rPr>
        <b/>
        <sz val="11"/>
        <color indexed="8"/>
        <rFont val="Verdana"/>
        <family val="2"/>
      </rPr>
      <t>:</t>
    </r>
  </si>
  <si>
    <r>
      <t xml:space="preserve">Please note that responses may be provided for three areas of focus, each relating to different computing environments a supplier may utilize to meet client needs. The intent is to capture security measures for these different environments, as each has a different effect on entity client security:
• Supplier Systems - These are the computing systems the supplier relies on for their own business needs, such as email, web presence, billing/invoicing, accounting, and others.
• Supplier Product - The actual product, be it software, hardware, or combination, that is sold to the entity client for their use.
• Supplier Development Environment - These are the computing systems the supplier relies on for developing products sold to entity clients, such as software development environment(s), software/hardware testing systems, automated testing infrastructure.
The following steps may be used by a supplier to complete this Questionnaire; if multiple areas of focus are being submitted, complete and return a separate Questionnaire for each area. 
Step 1: Using the descriptions above, select which area of focus these responses apply to in the Questionnaire Area of Focus drop-down box below.
Step 2: Complete each section answering each set of questions. Do NOT provide values in the Answer, Weight, or Score columns - they should remain blank.
Step 3: Submit the completed </t>
    </r>
    <r>
      <rPr>
        <i/>
        <sz val="12"/>
        <rFont val="Verdana"/>
        <family val="2"/>
      </rPr>
      <t>Energy Sector Supply Chain Risk Questionnaire</t>
    </r>
    <r>
      <rPr>
        <sz val="12"/>
        <rFont val="Verdana"/>
        <family val="2"/>
      </rPr>
      <t xml:space="preserve"> to the entity according to entity's procedures.
Most answers may be "Yes", "No", or "Not Applicable." Cases of "Not Applicable" must have a reason listed in the "Additional Information" box. The Guidance column may provide details on what to include (at a minimum) in the "Additional Information" column. Abbreviations and definitions are provided in the </t>
    </r>
    <r>
      <rPr>
        <i/>
        <sz val="12"/>
        <rFont val="Verdana"/>
        <family val="2"/>
      </rPr>
      <t>NATF Supply Chain Security Criteria</t>
    </r>
    <r>
      <rPr>
        <sz val="12"/>
        <rFont val="Verdana"/>
        <family val="2"/>
      </rPr>
      <t>. Defined terms can be found in the NERC Glossary of Terms on the NERC Standards Program Area website or directly at https://www.nerc.com/pa/Stand/Glossary%20of%20Terms/Glossary_of_Terms.pdf.</t>
    </r>
  </si>
  <si>
    <t>Do you have a process in place to notify entity customers of any mergers and acquisitions as soon as legally permissible?</t>
  </si>
  <si>
    <t>Do you have dedicated information security staff assigned to the product or service to be provided to the entity?</t>
  </si>
  <si>
    <t>Describe how you perform security assessments of third-party companies with which you share data (i.e., hosting providers, cloud services, PaaS, IaaS, SaaS, AI services, etc.). Provide a summary of your practices and/or controls that assure the third party will be subject to the appropriate standards regarding security, service recoverability, and confidentiality.</t>
  </si>
  <si>
    <t>Do you have a process by which you identify and document vulnerabilities in third-party product(s) used by you in the production or delivery of your product(s) to your customers, including the entity? Do you notify the entity and your other customers of these vulnerabilities throughout the lifecycle of the product(s) or service(s) provided by you?</t>
  </si>
  <si>
    <t>Provide a brief description for each of these third-party entities explaining the types of entity data they have access to and why each of these third parties REQUIRES access to entity data.</t>
  </si>
  <si>
    <t>Does your personnel vetting process allow you to share background check criteria and/or the process itself with entity for confirmation of process or verification of sampled employees?</t>
  </si>
  <si>
    <r>
      <t>Please describe your staff offboarding procedures, including the following:
· timeframe for termination of system and physical access</t>
    </r>
    <r>
      <rPr>
        <strike/>
        <sz val="11"/>
        <rFont val="Verdana"/>
        <family val="2"/>
      </rPr>
      <t xml:space="preserve">
</t>
    </r>
    <r>
      <rPr>
        <sz val="11"/>
        <rFont val="Verdana"/>
        <family val="2"/>
      </rPr>
      <t>· timeframe for notifying customers of termination of personnel</t>
    </r>
    <r>
      <rPr>
        <strike/>
        <sz val="11"/>
        <rFont val="Verdana"/>
        <family val="2"/>
      </rPr>
      <t xml:space="preserve">
</t>
    </r>
    <r>
      <rPr>
        <sz val="11"/>
        <rFont val="Verdana"/>
        <family val="2"/>
      </rPr>
      <t>· cases in which personnel will no longer need physical or logical access to the entity's sites or systems.</t>
    </r>
  </si>
  <si>
    <t>For access within supplier's system functioning as a BCSI repository for entity data, has supplier implemented procedures to revoke access within 24 hours when any individual no longer requires access due to change in employment status or job duties?</t>
  </si>
  <si>
    <t>Which groups of staff (individual contractors and full-time) have access to entity data? How many staff would have logical access to our data? What is your policy on providing notification if/when rotating staff will handle entity data/projects?</t>
  </si>
  <si>
    <t>Do you maintain an access list of all individuals with access to entity's assets, information and facilities?</t>
  </si>
  <si>
    <t>Do you conduct an annual review of all individuals' access to the entity's assets, systems, networks, information, and facilities for which you provision and deprovision access?</t>
  </si>
  <si>
    <t>If remote access is needed into the entity's systems, do you have an implemented process to obtain authorization from entity prior to initializing each remote access session?</t>
  </si>
  <si>
    <t>If remote access is needed, do you have the ability to gain remote access without entity authorization (technical control, i.e., no "back door")?</t>
  </si>
  <si>
    <t>If remote access is needed from supplier to entity, does your remote access terminate automatically upon a pre-determined period with no activity or a pre-determined session time limit?</t>
  </si>
  <si>
    <t>Do you have controls in place to prevent unauthorized access from any other system through supplier's connection to entity systems?</t>
  </si>
  <si>
    <t>Do you have a business continuity plan (BCP) to support ongoing operations of your systems and scope of equipment and/or services provided to the entity?</t>
  </si>
  <si>
    <t>Does your organization have a data privacy policy that applies to your computing systems (including artificial intelligence models)?</t>
  </si>
  <si>
    <t>Primary (52)
Supporting (44)</t>
  </si>
  <si>
    <t>Do you have an overarching information security policy or procedure that can be shared with entity clients?</t>
  </si>
  <si>
    <t>Are ownership rights to all data, inputs, outputs, and metadata retained by the entity?</t>
  </si>
  <si>
    <t>Are processes in place to handle entity data in both a CUI and a CEII compliant manner?</t>
  </si>
  <si>
    <t>Will the entity be notified of major changes to the computing system environment that could impact the entity's security posture?</t>
  </si>
  <si>
    <t>Does your company own the physical data center where the entity's data will reside?</t>
  </si>
  <si>
    <t>Do you have cooling and fire suppression systems in all datacenters where entity data will reside?</t>
  </si>
  <si>
    <t xml:space="preserve">Is redundant power available and tested for all datacenters where entity data will reside? </t>
  </si>
  <si>
    <t xml:space="preserve">State how many internet service providers (ISPs) provide connectivity to each datacenter where the entity's data will reside. </t>
  </si>
  <si>
    <t>Does every datacenter where the entity's data will reside have multiple telephone company or network provider entrances to the facility?</t>
  </si>
  <si>
    <t>Will sensitive entity data be encrypted in storage? Please specify if through full disk encryption, data encryption, etc.</t>
  </si>
  <si>
    <t>Do you have a documented program to identify, classify, protect, manage, and maintain sensitive information (including data that may be processed by artificial intelligence models)?</t>
  </si>
  <si>
    <t>Does your information protection program address locations (on-site &amp; off-site) and technologies in use (e.g., cloud, virtualization, artificial intelligence)?</t>
  </si>
  <si>
    <t>Does your information protection program prohibit access to entity's data without entity authorization?</t>
  </si>
  <si>
    <t>Is utility data co-mingled in your databases or artificial intelligence models?</t>
  </si>
  <si>
    <t>Will entity's data be stored on any devices (database servers, file servers, SAN, NAS, etc.) configured with non-RFC 1918/4193 (i.e., publicly routable) IP addresses?</t>
  </si>
  <si>
    <t>Is entity unstructured data (e.g., file shares) encrypted?</t>
  </si>
  <si>
    <t>List all locations (countries) where the entity's data will be stored.</t>
  </si>
  <si>
    <t>Will any entity data be stored in the cloud?</t>
  </si>
  <si>
    <r>
      <t xml:space="preserve">In instances where the incident has the potential to affect the </t>
    </r>
    <r>
      <rPr>
        <sz val="11"/>
        <color theme="4" tint="-0.249977111117893"/>
        <rFont val="Verdana"/>
        <family val="2"/>
      </rPr>
      <t>entity</t>
    </r>
    <r>
      <rPr>
        <sz val="11"/>
        <color rgb="FF0070C0"/>
        <rFont val="Verdana"/>
        <family val="2"/>
      </rPr>
      <t>'s data and/or operations, is notification provided within 2 hours of identification? If not, please provide the number of hours before notification is made.</t>
    </r>
  </si>
  <si>
    <r>
      <t>Do you have a process to notify purchasers of any supplier-identified cyber or physical security incidents related to your products or services that could pose risk to the</t>
    </r>
    <r>
      <rPr>
        <sz val="11"/>
        <color rgb="FFFF0000"/>
        <rFont val="Verdana"/>
        <family val="2"/>
      </rPr>
      <t xml:space="preserve"> </t>
    </r>
    <r>
      <rPr>
        <sz val="11"/>
        <rFont val="Verdana"/>
        <family val="2"/>
      </rPr>
      <t>entity?</t>
    </r>
  </si>
  <si>
    <t>Is a mobile application(s) part of the solution being provided to the entity?</t>
  </si>
  <si>
    <t>Is entity's data encrypted in transport?</t>
  </si>
  <si>
    <t xml:space="preserve">Is entity's data encrypted in storage? </t>
  </si>
  <si>
    <t>Do you have a process to monitor industry threat and information sharing entities (e.g., National Vulnerability Database, CISA-AIS)?</t>
  </si>
  <si>
    <t>Do you provide inspection process documents for the entity to receive equipment?</t>
  </si>
  <si>
    <t>Do you establish and maintain a security program for the product(s) or service(s) being purchased, including implemented processes to verify the integrity and authenticity of the software, patches, and firmware relevant to the product(s) or service(s) being delivered to the entity?</t>
  </si>
  <si>
    <t xml:space="preserve">Have you implemented security controls for the use of devices that access entity's system (e.g., mobile, laptop, non-company devices)? </t>
  </si>
  <si>
    <t>Is your cybersecurity program compliant with FISMA standards? Or, in the case of products configured by the entity client, do your products include features and capabilities that are in line with FISMA standards?</t>
  </si>
  <si>
    <t>Are employees allowed to take entity's data out of the computing system in any form (including entering into public artificial intelligence models)?</t>
  </si>
  <si>
    <t>Do you notify the entity of any vulnerabilities in your product(s) or service(s) in a timely manner that does not increase threat vectors (e.g., security patch is available or vulnerability is publicly known or imminent to be released publicly)?</t>
  </si>
  <si>
    <t>Will you provide results of security scans to the entity?</t>
  </si>
  <si>
    <t>Do you have a documented software development life cycle (SDLC) or software development self-attestation, certification, and/or assessment?</t>
  </si>
  <si>
    <t>Cybersecurity Framework Version 2.0</t>
  </si>
  <si>
    <t>ID.AM-08</t>
  </si>
  <si>
    <t>ID.RA-01
DE.CM-09</t>
  </si>
  <si>
    <t>PR.PS-01</t>
  </si>
  <si>
    <t>ID.RA-01
RS.CO-03</t>
  </si>
  <si>
    <t>Table R3 Part 3.1
Table R3 Part 3.2</t>
  </si>
  <si>
    <t>Table R3 Part 3.3</t>
  </si>
  <si>
    <t>Table R1 Part 1.1</t>
  </si>
  <si>
    <t>Table R3 Part 3.1
Table R3 Part 3.2
Table R3 Part 3.3</t>
  </si>
  <si>
    <t>Table R3 Part 3.1</t>
  </si>
  <si>
    <t>PR.PS-06</t>
  </si>
  <si>
    <t>DE.CM-02</t>
  </si>
  <si>
    <t>GV.SC-01</t>
  </si>
  <si>
    <t>DE.CM-09</t>
  </si>
  <si>
    <t>PR.IR-01
PR.AA-03</t>
  </si>
  <si>
    <t>Table R2 Part 2.4
Table R3 Part 3.1</t>
  </si>
  <si>
    <t>Atch 1 Sect 1.4
Atch 1 Sect 2.2
Atch 1 Sect 3.2</t>
  </si>
  <si>
    <t>Atch 1 Sect 1.4
Atch 1 Sect 2.2</t>
  </si>
  <si>
    <t>PR.DS-01</t>
  </si>
  <si>
    <t>DE.CM-09
ID.RA-01
ID.RA-08
RS.CO-02
RS.CO-03
ID.RA-06</t>
  </si>
  <si>
    <t>ID.RA-08
DE.AE-07</t>
  </si>
  <si>
    <t>ID.RA-01
PR.DS-01
ID.RA-09
PR.IP-12
ID.RA-08
ID.RA-06</t>
  </si>
  <si>
    <t>Table R1 Part 1.6</t>
  </si>
  <si>
    <t>PR.AA-06</t>
  </si>
  <si>
    <t>PR.DS-02</t>
  </si>
  <si>
    <t>Table R2 Part 2.2</t>
  </si>
  <si>
    <t>Atch 1 Sect 1.5</t>
  </si>
  <si>
    <t>DE.AE-02
DE.AE-08</t>
  </si>
  <si>
    <t xml:space="preserve"> RS.MA-02
DE.AE-02
DE.AE-03</t>
  </si>
  <si>
    <t>ID.IM-04
RS.MI-01
RS.MI-02
RS.MA-01
RC.RP-01</t>
  </si>
  <si>
    <t>ID.IM-03</t>
  </si>
  <si>
    <t>ID.IM-04</t>
  </si>
  <si>
    <t>ID.IM-04
RS.CO-02
RS.CO-03
RS.MA-04</t>
  </si>
  <si>
    <t>PR.DS-01
PR.PS-01</t>
  </si>
  <si>
    <t>PR.DS-11</t>
  </si>
  <si>
    <t>PR.DS-11
PR.DS-01</t>
  </si>
  <si>
    <t>DE.CM-01
DE.CM-09
PR.IR-01</t>
  </si>
  <si>
    <t>DE.CM-01
DE.CM-03
RS.MA-01
RS.MI-02
PR.DS-01
PR.DS-02
PR.DS-10</t>
  </si>
  <si>
    <t>PR.AA-05</t>
  </si>
  <si>
    <t>GV.PO-02</t>
  </si>
  <si>
    <t>GV.PO-01
PR.DS-01</t>
  </si>
  <si>
    <t>Table R1 Part 1.2
Table R3 Part 3.1</t>
  </si>
  <si>
    <t>Atch 1 Sect 1.2</t>
  </si>
  <si>
    <t>PR.AA-03
PR.DS-01
PR.DS-02</t>
  </si>
  <si>
    <t>Table R1 Part 1.3
Table R2 Part 2.2</t>
  </si>
  <si>
    <t>DE.CM-01</t>
  </si>
  <si>
    <t>PR.AA-03</t>
  </si>
  <si>
    <t>PR.IR-03</t>
  </si>
  <si>
    <t>PR.IR-01</t>
  </si>
  <si>
    <t>DE.AE-03</t>
  </si>
  <si>
    <t>PR.IR-02</t>
  </si>
  <si>
    <t>Table R1 Part 1.5</t>
  </si>
  <si>
    <t>PR.PS-02
ID.RA-06</t>
  </si>
  <si>
    <t>ID.RA-07
PR.PS-01</t>
  </si>
  <si>
    <t>Table R1
Table R2</t>
  </si>
  <si>
    <t>Atch 1 Sect 1.3
Atch 1 Sect 2.1</t>
  </si>
  <si>
    <t>Table R1 Part 1.2</t>
  </si>
  <si>
    <t>ID.AM-01
ID.AM-02</t>
  </si>
  <si>
    <t>GV.PO-01
GV.OC-02</t>
  </si>
  <si>
    <t>RS.CO-02
RS.CO-03</t>
  </si>
  <si>
    <t>DE.AE-02
DE.AE-03
DE.CM-01
DE.CM-09</t>
  </si>
  <si>
    <t>PR.DS-01
PR.IR-01
ID.RA-09
PR.PS-06
ID.RA-07</t>
  </si>
  <si>
    <t>PR.PS-03
ID.AM-08</t>
  </si>
  <si>
    <t>ID.AM-08
PR.PS-03
ID.AM-08</t>
  </si>
  <si>
    <t>GV.OC-03
GV.PO-01</t>
  </si>
  <si>
    <t>ID.IM-02</t>
  </si>
  <si>
    <t>Table R1 Part 1.2
Table R1 Part 1.6</t>
  </si>
  <si>
    <t>Atch 1 Sect 1.1</t>
  </si>
  <si>
    <t>PR.DS-01
PR.DS-02</t>
  </si>
  <si>
    <t>PR.AA-02</t>
  </si>
  <si>
    <t>ID.AM-08
PR.IP-01</t>
  </si>
  <si>
    <t>Table R2 Part 2.3</t>
  </si>
  <si>
    <t>PR.AA-05
PR.IR-01</t>
  </si>
  <si>
    <t>PR.PS-01
PR.PS-01
PR.IR-01
ID.AM-03</t>
  </si>
  <si>
    <t>PR.AA-05
PR.AA-02</t>
  </si>
  <si>
    <t>PR.AA-05
PR.PS-01</t>
  </si>
  <si>
    <t>PR.AA-01
PR.AA-02
PR.AA-03
PR.AA-05
PR.IR-01
PR.PS-01</t>
  </si>
  <si>
    <t>Atch 1 Sect 1.2
Atch 1 Sect 3.1</t>
  </si>
  <si>
    <t>Table R2 Part 2.4</t>
  </si>
  <si>
    <t>Table R2 Part 2.1</t>
  </si>
  <si>
    <r>
      <t>PR.AA-02</t>
    </r>
    <r>
      <rPr>
        <strike/>
        <sz val="12"/>
        <rFont val="Calibri"/>
        <family val="2"/>
        <scheme val="minor"/>
      </rPr>
      <t xml:space="preserve">
</t>
    </r>
    <r>
      <rPr>
        <sz val="12"/>
        <rFont val="Calibri"/>
        <family val="2"/>
        <scheme val="minor"/>
      </rPr>
      <t>PR.AA-05</t>
    </r>
  </si>
  <si>
    <t>Table R1 Part 1.2
Table R3 Part 3.2</t>
  </si>
  <si>
    <t>Table R2 Part 2.5
Table R3 Part 3.2</t>
  </si>
  <si>
    <t>GV.RR-04</t>
  </si>
  <si>
    <t>DE.CM-01
DE.CM-09
PR.IR-01
ID.AM-08
ID.RA-07</t>
  </si>
  <si>
    <t>Table R2 Part 2.5
Table R3 Part 3.1</t>
  </si>
  <si>
    <t>Table R2 Part 2.5</t>
  </si>
  <si>
    <t>PR.AT-01
DE.CM-01
DE.CM-09
PR.IR-01
ID.AM-08</t>
  </si>
  <si>
    <t>ID.RA-01</t>
  </si>
  <si>
    <t>DE.CM-03
DE.CM-09
PR.DS-10
RS.CO-02
RS.CO-03</t>
  </si>
  <si>
    <t>GV.SC-05
GV.SC-07
PR.DS-01
ID.RA-09</t>
  </si>
  <si>
    <t>ID.RA-1
ID.RA-01
PR.DS-01
ID.RA-09
ID.RA-01
ID.RA-08
ID.RA-06</t>
  </si>
  <si>
    <t>PR.AA-01
PR.AA-06
PR.AA-05
PR.IR-01
PR.AA-02
PR.AA-03
PR.DS-01</t>
  </si>
  <si>
    <t>GV.SC-05</t>
  </si>
  <si>
    <t>GV.SC-07
ID.RA-10</t>
  </si>
  <si>
    <t>Table R3 Part 3.2
Table R3 Part 3.3</t>
  </si>
  <si>
    <t>Approval Date: 2025-05-20</t>
  </si>
  <si>
    <t>Published
2025-05-20</t>
  </si>
  <si>
    <t>Supplier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</si>
</sst>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68" x14ac:knownFonts="1">
    <font>
      <sz val="12"/>
      <color indexed="8"/>
      <name val="Verdan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0"/>
      <color theme="0"/>
      <name val="Verdana"/>
      <family val="2"/>
    </font>
    <font>
      <sz val="11"/>
      <color indexed="8"/>
      <name val="Verdana"/>
      <family val="2"/>
    </font>
    <font>
      <sz val="11"/>
      <color theme="1"/>
      <name val="Verdana"/>
      <family val="2"/>
    </font>
    <font>
      <b/>
      <sz val="12"/>
      <color theme="1"/>
      <name val="Verdana"/>
      <family val="2"/>
    </font>
    <font>
      <i/>
      <sz val="12"/>
      <color theme="1"/>
      <name val="Verdana"/>
      <family val="2"/>
    </font>
    <font>
      <b/>
      <sz val="14"/>
      <color theme="0"/>
      <name val="Verdana"/>
      <family val="2"/>
    </font>
    <font>
      <sz val="12"/>
      <color theme="0"/>
      <name val="Verdana"/>
      <family val="2"/>
    </font>
    <font>
      <b/>
      <sz val="11"/>
      <color rgb="FFFF0000"/>
      <name val="Verdana"/>
      <family val="2"/>
    </font>
    <font>
      <sz val="11"/>
      <color rgb="FFFF0000"/>
      <name val="Verdana"/>
      <family val="2"/>
    </font>
    <font>
      <sz val="11"/>
      <color rgb="FF000000"/>
      <name val="Verdana"/>
      <family val="2"/>
    </font>
    <font>
      <b/>
      <sz val="11"/>
      <color indexed="8"/>
      <name val="Verdana"/>
      <family val="2"/>
    </font>
    <font>
      <sz val="12"/>
      <color indexed="8"/>
      <name val="Verdana"/>
      <family val="2"/>
    </font>
    <font>
      <sz val="11"/>
      <name val="Verdana"/>
      <family val="2"/>
    </font>
    <font>
      <sz val="12"/>
      <name val="Verdana"/>
      <family val="2"/>
    </font>
    <font>
      <u/>
      <sz val="11"/>
      <color theme="1"/>
      <name val="Verdana"/>
      <family val="2"/>
    </font>
    <font>
      <sz val="11"/>
      <color rgb="FF7030A0"/>
      <name val="Verdana"/>
      <family val="2"/>
    </font>
    <font>
      <sz val="8"/>
      <name val="Verdana"/>
      <family val="2"/>
    </font>
    <font>
      <i/>
      <sz val="11"/>
      <name val="Verdana"/>
      <family val="2"/>
    </font>
    <font>
      <sz val="11"/>
      <color rgb="FF0070C0"/>
      <name val="Verdana"/>
      <family val="2"/>
    </font>
    <font>
      <sz val="9"/>
      <color indexed="8"/>
      <name val="Calibri"/>
      <family val="2"/>
    </font>
    <font>
      <sz val="11"/>
      <name val="Calibri"/>
      <family val="2"/>
      <scheme val="minor"/>
    </font>
    <font>
      <b/>
      <sz val="16"/>
      <color theme="0" tint="-0.249977111117893"/>
      <name val="Verdana"/>
      <family val="2"/>
    </font>
    <font>
      <u/>
      <sz val="12"/>
      <color theme="10"/>
      <name val="Verdana"/>
      <family val="2"/>
    </font>
    <font>
      <sz val="8"/>
      <name val="Verdana"/>
      <family val="2"/>
    </font>
    <font>
      <sz val="11"/>
      <color theme="8"/>
      <name val="Verdana"/>
      <family val="2"/>
    </font>
    <font>
      <sz val="14"/>
      <color indexed="8"/>
      <name val="Verdana"/>
      <family val="2"/>
    </font>
    <font>
      <b/>
      <sz val="16"/>
      <color indexed="8"/>
      <name val="Verdana"/>
      <family val="2"/>
    </font>
    <font>
      <b/>
      <sz val="14"/>
      <color indexed="8"/>
      <name val="Verdana"/>
      <family val="2"/>
    </font>
    <font>
      <i/>
      <sz val="11"/>
      <name val="Calibri"/>
      <family val="2"/>
      <scheme val="minor"/>
    </font>
    <font>
      <b/>
      <sz val="22"/>
      <name val="Calibri Light"/>
      <family val="2"/>
      <scheme val="major"/>
    </font>
    <font>
      <sz val="11"/>
      <color indexed="8"/>
      <name val="Calibri"/>
      <family val="2"/>
      <scheme val="minor"/>
    </font>
    <font>
      <b/>
      <sz val="24"/>
      <color theme="4" tint="-0.499984740745262"/>
      <name val="Calibri Light"/>
      <family val="2"/>
      <scheme val="major"/>
    </font>
    <font>
      <sz val="10"/>
      <name val="Arial"/>
      <family val="2"/>
    </font>
    <font>
      <b/>
      <sz val="12"/>
      <name val="Calibri"/>
      <family val="2"/>
      <scheme val="minor"/>
    </font>
    <font>
      <b/>
      <sz val="9"/>
      <name val="Calibri"/>
      <family val="2"/>
      <scheme val="minor"/>
    </font>
    <font>
      <strike/>
      <sz val="11"/>
      <name val="Verdana"/>
      <family val="2"/>
    </font>
    <font>
      <b/>
      <sz val="12"/>
      <name val="Calibri Light"/>
      <family val="2"/>
      <scheme val="major"/>
    </font>
    <font>
      <b/>
      <sz val="11"/>
      <name val="Calibri Light"/>
      <family val="2"/>
      <scheme val="major"/>
    </font>
    <font>
      <sz val="12"/>
      <name val="Calibri"/>
      <family val="2"/>
      <scheme val="minor"/>
    </font>
    <font>
      <strike/>
      <sz val="12"/>
      <name val="Calibri"/>
      <family val="2"/>
      <scheme val="minor"/>
    </font>
    <font>
      <b/>
      <sz val="12"/>
      <color theme="2"/>
      <name val="Verdana"/>
      <family val="2"/>
    </font>
    <font>
      <b/>
      <sz val="12"/>
      <color rgb="FFFF0000"/>
      <name val="Calibri"/>
      <family val="2"/>
      <scheme val="minor"/>
    </font>
    <font>
      <b/>
      <sz val="16"/>
      <color rgb="FFFF0000"/>
      <name val="Verdana"/>
      <family val="2"/>
    </font>
    <font>
      <b/>
      <sz val="9"/>
      <name val="Calibri"/>
      <family val="2"/>
    </font>
    <font>
      <i/>
      <sz val="12"/>
      <name val="Verdana"/>
      <family val="2"/>
    </font>
    <font>
      <b/>
      <sz val="16"/>
      <color theme="2" tint="-9.9978637043366805E-2"/>
      <name val="Verdana"/>
      <family val="2"/>
    </font>
    <font>
      <b/>
      <sz val="20"/>
      <color theme="0" tint="-4.9989318521683403E-2"/>
      <name val="Verdana"/>
      <family val="2"/>
    </font>
    <font>
      <sz val="12"/>
      <color theme="0" tint="-4.9989318521683403E-2"/>
      <name val="Verdana"/>
      <family val="2"/>
    </font>
    <font>
      <b/>
      <sz val="11"/>
      <name val="Verdana"/>
      <family val="2"/>
    </font>
    <font>
      <b/>
      <sz val="14"/>
      <name val="Verdana"/>
      <family val="2"/>
    </font>
    <font>
      <sz val="14"/>
      <name val="Verdana"/>
      <family val="2"/>
    </font>
    <font>
      <b/>
      <sz val="14"/>
      <color theme="0" tint="-4.9989318521683403E-2"/>
      <name val="Verdana"/>
      <family val="2"/>
    </font>
    <font>
      <sz val="11"/>
      <color theme="4" tint="-0.249977111117893"/>
      <name val="Verdana"/>
      <family val="2"/>
    </font>
  </fonts>
  <fills count="2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FFFFFF"/>
        <bgColor indexed="64"/>
      </patternFill>
    </fill>
    <fill>
      <patternFill patternType="solid">
        <fgColor rgb="FFF2F2F2"/>
        <bgColor rgb="FFF2F2F2"/>
      </patternFill>
    </fill>
    <fill>
      <patternFill patternType="solid">
        <fgColor theme="9" tint="-0.249977111117893"/>
        <bgColor indexed="64"/>
      </patternFill>
    </fill>
    <fill>
      <patternFill patternType="solid">
        <fgColor rgb="FFF2F2F2"/>
        <bgColor indexed="64"/>
      </patternFill>
    </fill>
    <fill>
      <patternFill patternType="solid">
        <fgColor theme="0" tint="-4.9989318521683403E-2"/>
        <bgColor rgb="FFF2F2F2"/>
      </patternFill>
    </fill>
    <fill>
      <patternFill patternType="solid">
        <fgColor theme="2" tint="-0.749992370372631"/>
        <bgColor indexed="64"/>
      </patternFill>
    </fill>
    <fill>
      <patternFill patternType="solid">
        <fgColor theme="9" tint="0.79998168889431442"/>
        <bgColor indexed="64"/>
      </patternFill>
    </fill>
    <fill>
      <patternFill patternType="solid">
        <fgColor rgb="FFEBF1DE"/>
        <bgColor rgb="FF000000"/>
      </patternFill>
    </fill>
    <fill>
      <patternFill patternType="solid">
        <fgColor rgb="FFB8CCE4"/>
        <bgColor indexed="64"/>
      </patternFill>
    </fill>
    <fill>
      <patternFill patternType="solid">
        <fgColor rgb="FFB8CCE4"/>
        <bgColor rgb="FF000000"/>
      </patternFill>
    </fill>
    <fill>
      <patternFill patternType="solid">
        <fgColor rgb="FFDCE6F1"/>
        <bgColor rgb="FF000000"/>
      </patternFill>
    </fill>
    <fill>
      <patternFill patternType="solid">
        <fgColor rgb="FFDCE6F1"/>
        <bgColor indexed="64"/>
      </patternFill>
    </fill>
    <fill>
      <patternFill patternType="solid">
        <fgColor rgb="FFC4D79B"/>
        <bgColor indexed="64"/>
      </patternFill>
    </fill>
    <fill>
      <patternFill patternType="solid">
        <fgColor rgb="FFEBF1DE"/>
        <bgColor indexed="64"/>
      </patternFill>
    </fill>
    <fill>
      <patternFill patternType="solid">
        <fgColor rgb="FFFCD5B4"/>
        <bgColor rgb="FF000000"/>
      </patternFill>
    </fill>
    <fill>
      <patternFill patternType="solid">
        <fgColor rgb="FFFCD5B4"/>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indexed="64"/>
      </right>
      <top style="thin">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auto="1"/>
      </bottom>
      <diagonal/>
    </border>
    <border>
      <left/>
      <right style="thin">
        <color auto="1"/>
      </right>
      <top/>
      <bottom style="thin">
        <color auto="1"/>
      </bottom>
      <diagonal/>
    </border>
    <border>
      <left/>
      <right/>
      <top/>
      <bottom style="thin">
        <color auto="1"/>
      </bottom>
      <diagonal/>
    </border>
    <border>
      <left/>
      <right/>
      <top/>
      <bottom style="medium">
        <color indexed="64"/>
      </bottom>
      <diagonal/>
    </border>
    <border>
      <left style="thin">
        <color indexed="64"/>
      </left>
      <right style="thin">
        <color auto="1"/>
      </right>
      <top style="thin">
        <color auto="1"/>
      </top>
      <bottom/>
      <diagonal/>
    </border>
    <border>
      <left style="thin">
        <color indexed="64"/>
      </left>
      <right style="thin">
        <color auto="1"/>
      </right>
      <top/>
      <bottom style="thin">
        <color auto="1"/>
      </bottom>
      <diagonal/>
    </border>
  </borders>
  <cellStyleXfs count="93">
    <xf numFmtId="0" fontId="0" fillId="0" borderId="0" applyNumberFormat="0" applyFill="0" applyBorder="0" applyProtection="0">
      <alignment vertical="top" wrapText="1"/>
    </xf>
    <xf numFmtId="0" fontId="14" fillId="0" borderId="0"/>
    <xf numFmtId="0" fontId="11" fillId="0" borderId="0"/>
    <xf numFmtId="0" fontId="9" fillId="0" borderId="0"/>
    <xf numFmtId="0" fontId="37" fillId="0" borderId="0" applyNumberFormat="0" applyFill="0" applyBorder="0" applyAlignment="0" applyProtection="0">
      <alignment vertical="top" wrapText="1"/>
    </xf>
    <xf numFmtId="0" fontId="8" fillId="0" borderId="0"/>
    <xf numFmtId="0" fontId="8" fillId="0" borderId="0"/>
    <xf numFmtId="0" fontId="7" fillId="0" borderId="0"/>
    <xf numFmtId="0" fontId="7" fillId="0" borderId="0"/>
    <xf numFmtId="0" fontId="26" fillId="0" borderId="0" applyNumberFormat="0" applyFill="0" applyBorder="0" applyProtection="0">
      <alignment vertical="top" wrapText="1"/>
    </xf>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215">
    <xf numFmtId="0" fontId="0" fillId="0" borderId="0" xfId="0">
      <alignment vertical="top" wrapText="1"/>
    </xf>
    <xf numFmtId="0" fontId="16" fillId="0" borderId="0" xfId="0" applyNumberFormat="1" applyFont="1" applyAlignment="1"/>
    <xf numFmtId="0" fontId="20" fillId="4" borderId="1" xfId="0" applyNumberFormat="1" applyFont="1" applyFill="1" applyBorder="1" applyAlignment="1">
      <alignment horizontal="center" vertical="center" wrapText="1"/>
    </xf>
    <xf numFmtId="0" fontId="17" fillId="2" borderId="1" xfId="0" applyNumberFormat="1" applyFont="1" applyFill="1" applyBorder="1" applyAlignment="1">
      <alignment vertical="center" wrapText="1"/>
    </xf>
    <xf numFmtId="0" fontId="24" fillId="8" borderId="1" xfId="0" applyFont="1" applyFill="1" applyBorder="1" applyAlignment="1">
      <alignment vertical="center" wrapText="1"/>
    </xf>
    <xf numFmtId="0" fontId="16" fillId="0" borderId="0" xfId="0" applyNumberFormat="1" applyFont="1" applyAlignment="1">
      <alignment horizontal="center" vertical="center"/>
    </xf>
    <xf numFmtId="0" fontId="16" fillId="0" borderId="0" xfId="0" applyNumberFormat="1" applyFont="1" applyAlignment="1">
      <alignment wrapText="1"/>
    </xf>
    <xf numFmtId="0" fontId="22" fillId="0" borderId="0" xfId="0" applyNumberFormat="1" applyFont="1" applyBorder="1" applyAlignment="1">
      <alignment wrapText="1"/>
    </xf>
    <xf numFmtId="0" fontId="0" fillId="2" borderId="0" xfId="0" applyFill="1" applyBorder="1" applyAlignment="1">
      <alignment vertical="top"/>
    </xf>
    <xf numFmtId="0" fontId="16" fillId="2" borderId="0" xfId="0" applyFont="1" applyFill="1" applyBorder="1" applyAlignment="1">
      <alignment vertical="center"/>
    </xf>
    <xf numFmtId="0" fontId="28" fillId="7" borderId="1" xfId="0" applyFont="1" applyFill="1" applyBorder="1" applyAlignment="1">
      <alignment vertical="center" wrapText="1"/>
    </xf>
    <xf numFmtId="0" fontId="27" fillId="3" borderId="1" xfId="0" applyNumberFormat="1" applyFont="1" applyFill="1" applyBorder="1" applyAlignment="1">
      <alignment vertical="center" wrapText="1"/>
    </xf>
    <xf numFmtId="1" fontId="27" fillId="3" borderId="1" xfId="0" applyNumberFormat="1" applyFont="1" applyFill="1" applyBorder="1" applyAlignment="1">
      <alignment vertical="center" wrapText="1"/>
    </xf>
    <xf numFmtId="0" fontId="27" fillId="7" borderId="1" xfId="0" applyFont="1" applyFill="1" applyBorder="1" applyAlignment="1">
      <alignment vertical="center" wrapText="1"/>
    </xf>
    <xf numFmtId="0" fontId="27" fillId="10" borderId="1" xfId="0" applyNumberFormat="1" applyFont="1" applyFill="1" applyBorder="1" applyAlignment="1">
      <alignment vertical="center" wrapText="1"/>
    </xf>
    <xf numFmtId="1" fontId="30" fillId="0" borderId="1" xfId="0" applyNumberFormat="1" applyFont="1" applyFill="1" applyBorder="1" applyAlignment="1">
      <alignment vertical="center" wrapText="1"/>
    </xf>
    <xf numFmtId="0" fontId="30" fillId="3" borderId="1" xfId="0" applyNumberFormat="1" applyFont="1" applyFill="1" applyBorder="1" applyAlignment="1">
      <alignment horizontal="left" vertical="center" wrapText="1"/>
    </xf>
    <xf numFmtId="0" fontId="27" fillId="2" borderId="1" xfId="0" applyNumberFormat="1" applyFont="1" applyFill="1" applyBorder="1" applyAlignment="1">
      <alignment vertical="center" wrapText="1"/>
    </xf>
    <xf numFmtId="1" fontId="27" fillId="0" borderId="1" xfId="0" applyNumberFormat="1" applyFont="1" applyFill="1" applyBorder="1" applyAlignment="1">
      <alignment vertical="center" wrapText="1"/>
    </xf>
    <xf numFmtId="0" fontId="27" fillId="2" borderId="4" xfId="0" applyFont="1" applyFill="1" applyBorder="1" applyAlignment="1">
      <alignment vertical="center" wrapText="1"/>
    </xf>
    <xf numFmtId="0" fontId="30" fillId="0" borderId="1" xfId="0" applyNumberFormat="1" applyFont="1" applyFill="1" applyBorder="1" applyAlignment="1">
      <alignment horizontal="left" vertical="center" wrapText="1"/>
    </xf>
    <xf numFmtId="0" fontId="27" fillId="0" borderId="1" xfId="0" applyNumberFormat="1" applyFont="1" applyFill="1" applyBorder="1" applyAlignment="1">
      <alignment horizontal="left" vertical="center" wrapText="1"/>
    </xf>
    <xf numFmtId="0" fontId="28" fillId="0" borderId="1" xfId="0" applyFont="1" applyFill="1" applyBorder="1" applyAlignment="1">
      <alignment vertical="center" wrapText="1"/>
    </xf>
    <xf numFmtId="0" fontId="27" fillId="0" borderId="1" xfId="0" applyNumberFormat="1" applyFont="1" applyFill="1" applyBorder="1" applyAlignment="1">
      <alignment vertical="center" wrapText="1"/>
    </xf>
    <xf numFmtId="0" fontId="30" fillId="0" borderId="1" xfId="0" applyNumberFormat="1" applyFont="1" applyFill="1" applyBorder="1" applyAlignment="1">
      <alignment vertical="center" wrapText="1"/>
    </xf>
    <xf numFmtId="0" fontId="16" fillId="2" borderId="5" xfId="0" applyFont="1" applyFill="1" applyBorder="1" applyAlignment="1">
      <alignment vertical="center"/>
    </xf>
    <xf numFmtId="0" fontId="16" fillId="0" borderId="0" xfId="0" applyNumberFormat="1" applyFont="1" applyAlignment="1">
      <alignment horizontal="left" vertical="center"/>
    </xf>
    <xf numFmtId="0" fontId="16" fillId="2" borderId="0" xfId="0" applyNumberFormat="1" applyFont="1" applyFill="1" applyBorder="1" applyAlignment="1">
      <alignment horizontal="left" vertical="center"/>
    </xf>
    <xf numFmtId="0" fontId="16" fillId="2" borderId="6" xfId="0" applyNumberFormat="1" applyFont="1" applyFill="1" applyBorder="1" applyAlignment="1">
      <alignment horizontal="left" vertical="center"/>
    </xf>
    <xf numFmtId="0" fontId="27" fillId="3" borderId="1" xfId="0" applyNumberFormat="1" applyFont="1" applyFill="1" applyBorder="1" applyAlignment="1">
      <alignment horizontal="left" vertical="center" wrapText="1"/>
    </xf>
    <xf numFmtId="0" fontId="27" fillId="2" borderId="1" xfId="0" applyNumberFormat="1" applyFont="1" applyFill="1" applyBorder="1" applyAlignment="1">
      <alignment horizontal="left" vertical="center" wrapText="1"/>
    </xf>
    <xf numFmtId="0" fontId="27" fillId="2" borderId="1" xfId="0" applyNumberFormat="1" applyFont="1" applyFill="1" applyBorder="1" applyAlignment="1">
      <alignment horizontal="center" vertical="center"/>
    </xf>
    <xf numFmtId="0" fontId="27" fillId="2" borderId="1" xfId="0" applyNumberFormat="1" applyFont="1" applyFill="1" applyBorder="1" applyAlignment="1">
      <alignment horizontal="center" vertical="center" wrapText="1"/>
    </xf>
    <xf numFmtId="0" fontId="27" fillId="8" borderId="1" xfId="0" applyFont="1" applyFill="1" applyBorder="1" applyAlignment="1">
      <alignment vertical="center" wrapText="1"/>
    </xf>
    <xf numFmtId="0" fontId="27"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 xfId="0" applyNumberFormat="1" applyFont="1" applyFill="1" applyBorder="1" applyAlignment="1">
      <alignment horizontal="center" vertical="center"/>
    </xf>
    <xf numFmtId="0" fontId="23" fillId="2" borderId="1" xfId="0" applyNumberFormat="1" applyFont="1" applyFill="1" applyBorder="1" applyAlignment="1">
      <alignment horizontal="center" vertical="center" wrapText="1"/>
    </xf>
    <xf numFmtId="0" fontId="0" fillId="0" borderId="0" xfId="0" applyAlignment="1">
      <alignment vertical="top"/>
    </xf>
    <xf numFmtId="0" fontId="0" fillId="0" borderId="0" xfId="0" applyAlignment="1"/>
    <xf numFmtId="0" fontId="35" fillId="0" borderId="0" xfId="1" applyFont="1"/>
    <xf numFmtId="0" fontId="14" fillId="0" borderId="7" xfId="1" applyBorder="1" applyAlignment="1">
      <alignment horizontal="left" wrapText="1"/>
    </xf>
    <xf numFmtId="0" fontId="14" fillId="0" borderId="8" xfId="1" applyBorder="1" applyAlignment="1">
      <alignment horizontal="left" wrapText="1"/>
    </xf>
    <xf numFmtId="14" fontId="14" fillId="0" borderId="9" xfId="1" applyNumberFormat="1" applyBorder="1" applyAlignment="1">
      <alignment horizontal="left" wrapText="1"/>
    </xf>
    <xf numFmtId="0" fontId="14" fillId="0" borderId="10" xfId="1" applyBorder="1" applyAlignment="1">
      <alignment horizontal="center" wrapText="1"/>
    </xf>
    <xf numFmtId="0" fontId="14" fillId="0" borderId="10" xfId="1" applyBorder="1" applyAlignment="1">
      <alignment horizontal="left" wrapText="1"/>
    </xf>
    <xf numFmtId="0" fontId="27" fillId="0" borderId="1" xfId="0" applyFont="1" applyFill="1" applyBorder="1" applyAlignment="1">
      <alignment vertical="center" wrapText="1"/>
    </xf>
    <xf numFmtId="0" fontId="27" fillId="3" borderId="1" xfId="0" applyFont="1" applyFill="1" applyBorder="1" applyAlignment="1">
      <alignment vertical="center" wrapText="1"/>
    </xf>
    <xf numFmtId="0" fontId="13" fillId="0" borderId="8" xfId="1" applyFont="1" applyBorder="1" applyAlignment="1">
      <alignment horizontal="left" wrapText="1"/>
    </xf>
    <xf numFmtId="0" fontId="12" fillId="0" borderId="10" xfId="1" applyFont="1" applyBorder="1" applyAlignment="1">
      <alignment horizontal="left" wrapText="1"/>
    </xf>
    <xf numFmtId="1" fontId="33" fillId="2" borderId="1" xfId="0" applyNumberFormat="1" applyFont="1" applyFill="1" applyBorder="1" applyAlignment="1">
      <alignment vertical="center" wrapText="1"/>
    </xf>
    <xf numFmtId="0" fontId="33" fillId="2" borderId="1" xfId="0" applyNumberFormat="1" applyFont="1" applyFill="1" applyBorder="1" applyAlignment="1">
      <alignment vertical="center" wrapText="1"/>
    </xf>
    <xf numFmtId="0" fontId="33" fillId="11" borderId="1" xfId="0" applyFont="1" applyFill="1" applyBorder="1" applyAlignment="1">
      <alignment vertical="center" wrapText="1"/>
    </xf>
    <xf numFmtId="0" fontId="33" fillId="2" borderId="1" xfId="0" applyFont="1" applyFill="1" applyBorder="1" applyAlignment="1">
      <alignment vertical="center" wrapText="1"/>
    </xf>
    <xf numFmtId="165" fontId="10" fillId="0" borderId="10" xfId="1" applyNumberFormat="1" applyFont="1" applyBorder="1" applyAlignment="1">
      <alignment horizontal="center" vertical="top" wrapText="1"/>
    </xf>
    <xf numFmtId="0" fontId="27" fillId="2" borderId="0" xfId="0" applyFont="1" applyFill="1" applyBorder="1" applyAlignment="1">
      <alignment vertical="center"/>
    </xf>
    <xf numFmtId="0" fontId="28" fillId="0" borderId="0" xfId="0" applyFont="1">
      <alignment vertical="top" wrapText="1"/>
    </xf>
    <xf numFmtId="165" fontId="14" fillId="0" borderId="10" xfId="1" applyNumberFormat="1" applyBorder="1" applyAlignment="1">
      <alignment horizontal="center" wrapText="1"/>
    </xf>
    <xf numFmtId="0" fontId="23" fillId="0" borderId="0" xfId="0" applyNumberFormat="1" applyFont="1" applyAlignment="1"/>
    <xf numFmtId="14" fontId="35" fillId="0" borderId="9" xfId="1" applyNumberFormat="1" applyFont="1" applyBorder="1" applyAlignment="1">
      <alignment horizontal="left" vertical="top" wrapText="1"/>
    </xf>
    <xf numFmtId="0" fontId="39" fillId="2" borderId="1" xfId="0" applyFont="1" applyFill="1" applyBorder="1" applyAlignment="1">
      <alignment vertical="center" wrapText="1"/>
    </xf>
    <xf numFmtId="0" fontId="39" fillId="2" borderId="1" xfId="0" applyNumberFormat="1" applyFont="1" applyFill="1" applyBorder="1" applyAlignment="1">
      <alignment vertical="center" wrapText="1"/>
    </xf>
    <xf numFmtId="165" fontId="35" fillId="0" borderId="10" xfId="1" applyNumberFormat="1" applyFont="1" applyBorder="1" applyAlignment="1">
      <alignment horizontal="center" vertical="top" wrapText="1"/>
    </xf>
    <xf numFmtId="0" fontId="40" fillId="4" borderId="13" xfId="0" applyNumberFormat="1" applyFont="1" applyFill="1" applyBorder="1" applyAlignment="1">
      <alignment horizontal="center" vertical="center"/>
    </xf>
    <xf numFmtId="0" fontId="40" fillId="4" borderId="0" xfId="0" applyNumberFormat="1" applyFont="1" applyFill="1" applyBorder="1" applyAlignment="1">
      <alignment horizontal="center" vertical="center"/>
    </xf>
    <xf numFmtId="0" fontId="40" fillId="4" borderId="5" xfId="0" applyNumberFormat="1" applyFont="1" applyFill="1" applyBorder="1" applyAlignment="1">
      <alignment horizontal="center" vertical="center"/>
    </xf>
    <xf numFmtId="0" fontId="41" fillId="0" borderId="1" xfId="0" applyNumberFormat="1" applyFont="1" applyFill="1" applyBorder="1" applyAlignment="1">
      <alignment horizontal="center" vertical="center"/>
    </xf>
    <xf numFmtId="0" fontId="42" fillId="0" borderId="1" xfId="0" applyNumberFormat="1" applyFont="1" applyFill="1" applyBorder="1" applyAlignment="1">
      <alignment horizontal="center" vertical="center"/>
    </xf>
    <xf numFmtId="0" fontId="40" fillId="13" borderId="1" xfId="0" applyNumberFormat="1" applyFont="1" applyFill="1" applyBorder="1" applyAlignment="1">
      <alignment horizontal="center" vertical="center"/>
    </xf>
    <xf numFmtId="0" fontId="40" fillId="0" borderId="1" xfId="0" applyNumberFormat="1" applyFont="1" applyFill="1" applyBorder="1" applyAlignment="1">
      <alignment horizontal="center" vertical="center"/>
    </xf>
    <xf numFmtId="0" fontId="42" fillId="0" borderId="5" xfId="0" applyNumberFormat="1" applyFont="1" applyFill="1" applyBorder="1" applyAlignment="1">
      <alignment horizontal="center" vertical="center"/>
    </xf>
    <xf numFmtId="0" fontId="40" fillId="13" borderId="2" xfId="0" applyNumberFormat="1" applyFont="1" applyFill="1" applyBorder="1" applyAlignment="1">
      <alignment horizontal="center" vertical="center"/>
    </xf>
    <xf numFmtId="0" fontId="40" fillId="0" borderId="0" xfId="0" applyNumberFormat="1" applyFont="1" applyAlignment="1">
      <alignment horizontal="center" vertical="center"/>
    </xf>
    <xf numFmtId="0" fontId="40" fillId="0" borderId="0" xfId="0" applyNumberFormat="1" applyFont="1" applyFill="1" applyAlignment="1">
      <alignment horizontal="center" vertical="center"/>
    </xf>
    <xf numFmtId="0" fontId="35" fillId="0" borderId="10" xfId="1" applyFont="1" applyBorder="1" applyAlignment="1">
      <alignment horizontal="center" wrapText="1"/>
    </xf>
    <xf numFmtId="14" fontId="35" fillId="0" borderId="9" xfId="1" applyNumberFormat="1" applyFont="1" applyBorder="1" applyAlignment="1">
      <alignment horizontal="left" wrapText="1"/>
    </xf>
    <xf numFmtId="0" fontId="35" fillId="0" borderId="10" xfId="1" applyFont="1" applyBorder="1" applyAlignment="1">
      <alignment horizontal="left" wrapText="1"/>
    </xf>
    <xf numFmtId="0" fontId="35" fillId="0" borderId="8" xfId="1" applyFont="1" applyBorder="1" applyAlignment="1">
      <alignment horizontal="left" wrapText="1"/>
    </xf>
    <xf numFmtId="0" fontId="43" fillId="0" borderId="0" xfId="0" applyFont="1" applyAlignment="1"/>
    <xf numFmtId="165" fontId="35" fillId="0" borderId="10" xfId="1" applyNumberFormat="1" applyFont="1" applyBorder="1" applyAlignment="1">
      <alignment horizontal="center" wrapText="1"/>
    </xf>
    <xf numFmtId="0" fontId="35" fillId="0" borderId="7" xfId="1" applyFont="1" applyBorder="1" applyAlignment="1">
      <alignment horizontal="left" wrapText="1"/>
    </xf>
    <xf numFmtId="0" fontId="35" fillId="0" borderId="10" xfId="1" applyFont="1" applyBorder="1" applyAlignment="1">
      <alignment horizontal="left" vertical="top" wrapText="1"/>
    </xf>
    <xf numFmtId="0" fontId="27" fillId="2" borderId="4"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33" fillId="0" borderId="1" xfId="0" applyNumberFormat="1" applyFont="1" applyFill="1" applyBorder="1" applyAlignment="1">
      <alignment vertical="center" wrapText="1"/>
    </xf>
    <xf numFmtId="1" fontId="33" fillId="0" borderId="1" xfId="0" applyNumberFormat="1" applyFont="1" applyFill="1" applyBorder="1" applyAlignment="1">
      <alignment vertical="center" wrapText="1"/>
    </xf>
    <xf numFmtId="0" fontId="48" fillId="0" borderId="1" xfId="0" applyFont="1" applyFill="1" applyBorder="1" applyAlignment="1">
      <alignment horizontal="center" vertical="center" wrapText="1"/>
    </xf>
    <xf numFmtId="0" fontId="48" fillId="0" borderId="1" xfId="9" applyFont="1" applyBorder="1" applyAlignment="1">
      <alignment horizontal="center" vertical="center" wrapText="1"/>
    </xf>
    <xf numFmtId="0" fontId="48" fillId="0" borderId="4" xfId="9" applyFont="1" applyBorder="1" applyAlignment="1">
      <alignment horizontal="center" vertical="center" wrapText="1"/>
    </xf>
    <xf numFmtId="0" fontId="49" fillId="0" borderId="1" xfId="9" applyFont="1" applyBorder="1" applyAlignment="1">
      <alignment horizontal="center" vertical="center" wrapText="1"/>
    </xf>
    <xf numFmtId="0" fontId="53" fillId="21" borderId="1" xfId="0" applyFont="1" applyFill="1" applyBorder="1" applyAlignment="1">
      <alignment horizontal="center" vertical="center" wrapText="1"/>
    </xf>
    <xf numFmtId="0" fontId="53" fillId="17" borderId="1" xfId="9" applyFont="1" applyFill="1" applyBorder="1" applyAlignment="1">
      <alignment horizontal="center" vertical="center" wrapText="1"/>
    </xf>
    <xf numFmtId="0" fontId="53" fillId="14" borderId="1" xfId="9" applyFont="1" applyFill="1" applyBorder="1" applyAlignment="1">
      <alignment horizontal="center" vertical="center" wrapText="1"/>
    </xf>
    <xf numFmtId="0" fontId="53" fillId="16" borderId="1" xfId="9" applyFont="1" applyFill="1" applyBorder="1" applyAlignment="1">
      <alignment horizontal="center" vertical="center" wrapText="1"/>
    </xf>
    <xf numFmtId="0" fontId="53" fillId="22" borderId="1" xfId="0" applyNumberFormat="1" applyFont="1" applyFill="1" applyBorder="1" applyAlignment="1"/>
    <xf numFmtId="0" fontId="53" fillId="18" borderId="1" xfId="9" applyNumberFormat="1" applyFont="1" applyFill="1" applyBorder="1" applyAlignment="1"/>
    <xf numFmtId="0" fontId="53" fillId="20" borderId="1" xfId="9" applyNumberFormat="1" applyFont="1" applyFill="1" applyBorder="1" applyAlignment="1"/>
    <xf numFmtId="0" fontId="53" fillId="15" borderId="1" xfId="9" applyNumberFormat="1" applyFont="1" applyFill="1" applyBorder="1" applyAlignment="1"/>
    <xf numFmtId="0" fontId="54" fillId="17" borderId="1" xfId="9" applyFont="1" applyFill="1" applyBorder="1" applyAlignment="1">
      <alignment horizontal="center" vertical="center" wrapText="1"/>
    </xf>
    <xf numFmtId="0" fontId="53" fillId="15" borderId="1" xfId="9" applyNumberFormat="1" applyFont="1" applyFill="1" applyBorder="1" applyAlignment="1">
      <alignment horizontal="center" vertical="center"/>
    </xf>
    <xf numFmtId="0" fontId="53" fillId="20" borderId="1" xfId="9" applyNumberFormat="1" applyFont="1" applyFill="1" applyBorder="1" applyAlignment="1">
      <alignment horizontal="center" vertical="center"/>
    </xf>
    <xf numFmtId="0" fontId="53" fillId="21" borderId="1" xfId="9" applyFont="1" applyFill="1" applyBorder="1" applyAlignment="1">
      <alignment horizontal="center" vertical="center" wrapText="1"/>
    </xf>
    <xf numFmtId="0" fontId="53" fillId="22" borderId="1" xfId="9" applyNumberFormat="1" applyFont="1" applyFill="1" applyBorder="1" applyAlignment="1"/>
    <xf numFmtId="0" fontId="53" fillId="16" borderId="1" xfId="62" applyFont="1" applyFill="1" applyBorder="1" applyAlignment="1">
      <alignment horizontal="center" vertical="center" wrapText="1"/>
    </xf>
    <xf numFmtId="0" fontId="53" fillId="18" borderId="1" xfId="9" applyNumberFormat="1" applyFont="1" applyFill="1" applyBorder="1" applyAlignment="1">
      <alignment horizontal="center" vertical="center"/>
    </xf>
    <xf numFmtId="0" fontId="53" fillId="22" borderId="1" xfId="9" applyNumberFormat="1" applyFont="1" applyFill="1" applyBorder="1" applyAlignment="1">
      <alignment horizontal="center" vertical="center"/>
    </xf>
    <xf numFmtId="0" fontId="53" fillId="18" borderId="1" xfId="9" applyNumberFormat="1" applyFont="1" applyFill="1" applyBorder="1" applyAlignment="1">
      <alignment horizontal="center" vertical="center" wrapText="1"/>
    </xf>
    <xf numFmtId="0" fontId="53" fillId="22" borderId="1" xfId="9" applyNumberFormat="1" applyFont="1" applyFill="1" applyBorder="1" applyAlignment="1">
      <alignment horizontal="center" vertical="center" wrapText="1"/>
    </xf>
    <xf numFmtId="0" fontId="53" fillId="20" borderId="1" xfId="9" applyNumberFormat="1" applyFont="1" applyFill="1" applyBorder="1" applyAlignment="1">
      <alignment horizontal="center" vertical="center" wrapText="1"/>
    </xf>
    <xf numFmtId="0" fontId="53" fillId="15" borderId="1" xfId="9" applyNumberFormat="1" applyFont="1" applyFill="1" applyBorder="1" applyAlignment="1">
      <alignment horizontal="center" vertical="center" wrapText="1"/>
    </xf>
    <xf numFmtId="0" fontId="55" fillId="9" borderId="1" xfId="0" applyNumberFormat="1" applyFont="1" applyFill="1" applyBorder="1" applyAlignment="1">
      <alignment horizontal="center" vertical="center" wrapText="1"/>
    </xf>
    <xf numFmtId="0" fontId="28" fillId="5" borderId="16" xfId="0" applyNumberFormat="1" applyFont="1" applyFill="1" applyBorder="1" applyAlignment="1">
      <alignment horizontal="left" vertical="center" wrapText="1"/>
    </xf>
    <xf numFmtId="0" fontId="28" fillId="5" borderId="15" xfId="0" applyNumberFormat="1" applyFont="1" applyFill="1" applyBorder="1" applyAlignment="1">
      <alignment horizontal="left" vertical="center" wrapText="1"/>
    </xf>
    <xf numFmtId="0" fontId="27" fillId="3" borderId="2" xfId="0" applyNumberFormat="1" applyFont="1" applyFill="1" applyBorder="1" applyAlignment="1">
      <alignment vertical="center" wrapText="1"/>
    </xf>
    <xf numFmtId="1" fontId="27" fillId="3" borderId="2" xfId="0" applyNumberFormat="1" applyFont="1" applyFill="1" applyBorder="1" applyAlignment="1">
      <alignment vertical="center" wrapText="1"/>
    </xf>
    <xf numFmtId="1" fontId="27" fillId="3" borderId="4" xfId="0" applyNumberFormat="1" applyFont="1" applyFill="1" applyBorder="1" applyAlignment="1">
      <alignment vertical="center" wrapText="1"/>
    </xf>
    <xf numFmtId="0" fontId="27" fillId="0" borderId="2" xfId="0" applyNumberFormat="1" applyFont="1" applyFill="1" applyBorder="1" applyAlignment="1">
      <alignment vertical="center" wrapText="1"/>
    </xf>
    <xf numFmtId="0" fontId="27" fillId="0" borderId="4" xfId="0" applyNumberFormat="1" applyFont="1" applyFill="1" applyBorder="1" applyAlignment="1">
      <alignment vertical="center" wrapText="1"/>
    </xf>
    <xf numFmtId="0" fontId="0" fillId="0" borderId="0" xfId="0" applyAlignment="1">
      <alignment horizontal="left" vertical="top" wrapText="1"/>
    </xf>
    <xf numFmtId="0" fontId="45" fillId="0" borderId="0" xfId="0" applyFont="1" applyAlignment="1">
      <alignment horizontal="left" vertical="center"/>
    </xf>
    <xf numFmtId="0" fontId="0" fillId="0" borderId="0" xfId="0" applyAlignment="1">
      <alignment vertical="center"/>
    </xf>
    <xf numFmtId="0" fontId="35" fillId="0" borderId="8" xfId="1" applyFont="1" applyBorder="1" applyAlignment="1">
      <alignment horizontal="center" vertical="center" wrapText="1"/>
    </xf>
    <xf numFmtId="0" fontId="66" fillId="4" borderId="1" xfId="0" applyNumberFormat="1" applyFont="1" applyFill="1" applyBorder="1" applyAlignment="1">
      <alignment horizontal="center" vertical="center" wrapText="1"/>
    </xf>
    <xf numFmtId="0" fontId="33" fillId="3" borderId="1" xfId="0" applyNumberFormat="1" applyFont="1" applyFill="1" applyBorder="1" applyAlignment="1">
      <alignment vertical="center" wrapText="1"/>
    </xf>
    <xf numFmtId="0" fontId="33" fillId="3" borderId="1" xfId="0" applyFont="1" applyFill="1" applyBorder="1" applyAlignment="1">
      <alignment vertical="center" wrapText="1"/>
    </xf>
    <xf numFmtId="1" fontId="33" fillId="3" borderId="1" xfId="0" applyNumberFormat="1" applyFont="1" applyFill="1" applyBorder="1" applyAlignment="1">
      <alignment vertical="center" wrapText="1"/>
    </xf>
    <xf numFmtId="0" fontId="55" fillId="9" borderId="1" xfId="0" applyNumberFormat="1" applyFont="1" applyFill="1" applyBorder="1" applyAlignment="1">
      <alignment horizontal="left" vertical="center" wrapText="1"/>
    </xf>
    <xf numFmtId="0" fontId="55" fillId="9" borderId="11" xfId="0" applyNumberFormat="1" applyFont="1" applyFill="1" applyBorder="1" applyAlignment="1">
      <alignment horizontal="center" vertical="center" wrapText="1"/>
    </xf>
    <xf numFmtId="0" fontId="55" fillId="9" borderId="12" xfId="0" applyNumberFormat="1" applyFont="1" applyFill="1" applyBorder="1" applyAlignment="1">
      <alignment horizontal="center" vertical="center" wrapText="1"/>
    </xf>
    <xf numFmtId="0" fontId="55" fillId="9" borderId="6" xfId="0" applyNumberFormat="1" applyFont="1" applyFill="1" applyBorder="1" applyAlignment="1">
      <alignment horizontal="center" vertical="center"/>
    </xf>
    <xf numFmtId="0" fontId="35" fillId="0" borderId="17" xfId="1" applyFont="1" applyBorder="1"/>
    <xf numFmtId="0" fontId="0" fillId="0" borderId="0" xfId="0" applyAlignment="1"/>
    <xf numFmtId="0" fontId="34" fillId="0" borderId="0" xfId="0" applyFont="1" applyAlignment="1">
      <alignment horizontal="left" vertical="center" wrapText="1"/>
    </xf>
    <xf numFmtId="0" fontId="46" fillId="0" borderId="0" xfId="0" applyFont="1" applyAlignment="1">
      <alignment horizontal="left" wrapText="1"/>
    </xf>
    <xf numFmtId="0" fontId="34" fillId="0" borderId="0" xfId="9" applyFont="1" applyAlignment="1">
      <alignment horizontal="left" vertical="top" wrapText="1"/>
    </xf>
    <xf numFmtId="0" fontId="58" fillId="0" borderId="0" xfId="0" applyFont="1" applyAlignment="1">
      <alignment horizontal="left" vertical="center" wrapText="1"/>
    </xf>
    <xf numFmtId="0" fontId="58" fillId="0" borderId="0" xfId="0" applyFont="1" applyAlignment="1">
      <alignment horizontal="left" vertical="center"/>
    </xf>
    <xf numFmtId="0" fontId="35" fillId="0" borderId="0" xfId="0" applyFont="1" applyAlignment="1"/>
    <xf numFmtId="0" fontId="44" fillId="0" borderId="0" xfId="0" applyFont="1" applyAlignment="1">
      <alignment horizontal="left" wrapText="1"/>
    </xf>
    <xf numFmtId="0" fontId="0" fillId="0" borderId="0" xfId="0" applyAlignment="1">
      <alignment vertical="center"/>
    </xf>
    <xf numFmtId="0" fontId="48" fillId="0" borderId="0" xfId="9" applyFont="1" applyAlignment="1">
      <alignment horizontal="left" vertical="center"/>
    </xf>
    <xf numFmtId="0" fontId="56" fillId="0" borderId="0" xfId="9" applyFont="1" applyAlignment="1">
      <alignment horizontal="left" vertical="center"/>
    </xf>
    <xf numFmtId="0" fontId="20" fillId="4" borderId="13" xfId="0" applyNumberFormat="1" applyFont="1" applyFill="1" applyBorder="1" applyAlignment="1">
      <alignment horizontal="center" vertical="center"/>
    </xf>
    <xf numFmtId="0" fontId="20" fillId="4" borderId="0" xfId="0" applyNumberFormat="1" applyFont="1" applyFill="1" applyBorder="1" applyAlignment="1">
      <alignment horizontal="center" vertical="center"/>
    </xf>
    <xf numFmtId="0" fontId="32" fillId="0" borderId="2" xfId="0" applyNumberFormat="1" applyFont="1" applyFill="1" applyBorder="1" applyAlignment="1">
      <alignment horizontal="left" vertical="center" wrapText="1"/>
    </xf>
    <xf numFmtId="0" fontId="32" fillId="0" borderId="3" xfId="0" applyNumberFormat="1" applyFont="1" applyFill="1" applyBorder="1" applyAlignment="1">
      <alignment horizontal="left" vertical="center" wrapText="1"/>
    </xf>
    <xf numFmtId="0" fontId="32" fillId="0" borderId="4" xfId="0" applyNumberFormat="1" applyFont="1" applyFill="1" applyBorder="1" applyAlignment="1">
      <alignment horizontal="left" vertical="center" wrapText="1"/>
    </xf>
    <xf numFmtId="0" fontId="32" fillId="0" borderId="2" xfId="0" applyNumberFormat="1" applyFont="1" applyFill="1" applyBorder="1" applyAlignment="1">
      <alignment vertical="center" wrapText="1"/>
    </xf>
    <xf numFmtId="0" fontId="32" fillId="0" borderId="3" xfId="0" applyNumberFormat="1" applyFont="1" applyFill="1" applyBorder="1" applyAlignment="1">
      <alignment vertical="center" wrapText="1"/>
    </xf>
    <xf numFmtId="0" fontId="32" fillId="0" borderId="4" xfId="0" applyNumberFormat="1" applyFont="1" applyFill="1" applyBorder="1" applyAlignment="1">
      <alignment vertical="center" wrapText="1"/>
    </xf>
    <xf numFmtId="0" fontId="20" fillId="12" borderId="1" xfId="0" applyNumberFormat="1" applyFont="1" applyFill="1" applyBorder="1" applyAlignment="1">
      <alignment horizontal="center" vertical="center"/>
    </xf>
    <xf numFmtId="0" fontId="20" fillId="4" borderId="1" xfId="0" applyNumberFormat="1" applyFont="1" applyFill="1" applyBorder="1" applyAlignment="1">
      <alignment horizontal="left" vertical="center" wrapText="1"/>
    </xf>
    <xf numFmtId="0" fontId="15" fillId="9" borderId="1" xfId="0" applyNumberFormat="1" applyFont="1" applyFill="1" applyBorder="1" applyAlignment="1">
      <alignment horizontal="left" vertical="center" wrapText="1"/>
    </xf>
    <xf numFmtId="0" fontId="25" fillId="0" borderId="0" xfId="0" applyFont="1" applyBorder="1" applyAlignment="1">
      <alignment vertical="center" wrapText="1"/>
    </xf>
    <xf numFmtId="0" fontId="16" fillId="2" borderId="0" xfId="0" applyFont="1" applyFill="1" applyBorder="1" applyAlignment="1">
      <alignment vertical="center"/>
    </xf>
    <xf numFmtId="0" fontId="21" fillId="6" borderId="2" xfId="0" applyNumberFormat="1" applyFont="1" applyFill="1" applyBorder="1" applyAlignment="1">
      <alignment horizontal="left" vertical="center" wrapText="1"/>
    </xf>
    <xf numFmtId="0" fontId="21" fillId="6" borderId="3" xfId="0" applyNumberFormat="1" applyFont="1" applyFill="1" applyBorder="1" applyAlignment="1">
      <alignment horizontal="left" vertical="center" wrapText="1"/>
    </xf>
    <xf numFmtId="0" fontId="21" fillId="6" borderId="4" xfId="0" applyNumberFormat="1" applyFont="1" applyFill="1" applyBorder="1" applyAlignment="1">
      <alignment horizontal="left" vertical="center" wrapText="1"/>
    </xf>
    <xf numFmtId="164" fontId="19" fillId="3" borderId="2" xfId="0" applyNumberFormat="1" applyFont="1" applyFill="1" applyBorder="1" applyAlignment="1">
      <alignment horizontal="left" vertical="center" wrapText="1"/>
    </xf>
    <xf numFmtId="164" fontId="19" fillId="3" borderId="3" xfId="0" applyNumberFormat="1" applyFont="1" applyFill="1" applyBorder="1" applyAlignment="1">
      <alignment horizontal="left" vertical="center" wrapText="1"/>
    </xf>
    <xf numFmtId="164" fontId="19" fillId="3" borderId="4" xfId="0" applyNumberFormat="1" applyFont="1" applyFill="1" applyBorder="1" applyAlignment="1">
      <alignment horizontal="left" vertical="center" wrapText="1"/>
    </xf>
    <xf numFmtId="0" fontId="28" fillId="5" borderId="2" xfId="0" applyNumberFormat="1" applyFont="1" applyFill="1" applyBorder="1" applyAlignment="1">
      <alignment horizontal="left" vertical="top" wrapText="1"/>
    </xf>
    <xf numFmtId="0" fontId="28" fillId="5" borderId="3" xfId="0" applyNumberFormat="1" applyFont="1" applyFill="1" applyBorder="1" applyAlignment="1">
      <alignment horizontal="left" vertical="top" wrapText="1"/>
    </xf>
    <xf numFmtId="0" fontId="28" fillId="5" borderId="4" xfId="0" applyNumberFormat="1" applyFont="1" applyFill="1" applyBorder="1" applyAlignment="1">
      <alignment horizontal="left" vertical="top" wrapText="1"/>
    </xf>
    <xf numFmtId="0" fontId="20" fillId="4" borderId="2" xfId="0" applyNumberFormat="1" applyFont="1" applyFill="1" applyBorder="1" applyAlignment="1">
      <alignment horizontal="left" vertical="center" wrapText="1"/>
    </xf>
    <xf numFmtId="0" fontId="20" fillId="4" borderId="3" xfId="0" applyNumberFormat="1" applyFont="1" applyFill="1" applyBorder="1" applyAlignment="1">
      <alignment horizontal="left" vertical="center" wrapText="1"/>
    </xf>
    <xf numFmtId="0" fontId="20" fillId="4" borderId="4" xfId="0" applyNumberFormat="1" applyFont="1" applyFill="1" applyBorder="1" applyAlignment="1">
      <alignment horizontal="left" vertical="center" wrapText="1"/>
    </xf>
    <xf numFmtId="0" fontId="18" fillId="2" borderId="3" xfId="0" applyNumberFormat="1" applyFont="1" applyFill="1" applyBorder="1" applyAlignment="1">
      <alignment horizontal="right" vertical="center" wrapText="1"/>
    </xf>
    <xf numFmtId="0" fontId="18" fillId="2" borderId="4" xfId="0" applyNumberFormat="1" applyFont="1" applyFill="1" applyBorder="1" applyAlignment="1">
      <alignment horizontal="right" vertical="center" wrapText="1"/>
    </xf>
    <xf numFmtId="0" fontId="16" fillId="0" borderId="1" xfId="0" applyFont="1" applyFill="1" applyBorder="1" applyAlignment="1">
      <alignment horizontal="left" vertical="center"/>
    </xf>
    <xf numFmtId="0" fontId="28" fillId="5" borderId="11" xfId="0" applyNumberFormat="1" applyFont="1" applyFill="1" applyBorder="1" applyAlignment="1">
      <alignment horizontal="left" vertical="top" wrapText="1"/>
    </xf>
    <xf numFmtId="0" fontId="28" fillId="5" borderId="12" xfId="0" applyNumberFormat="1" applyFont="1" applyFill="1" applyBorder="1" applyAlignment="1">
      <alignment horizontal="left" vertical="top" wrapText="1"/>
    </xf>
    <xf numFmtId="0" fontId="28" fillId="5" borderId="6" xfId="0" applyNumberFormat="1" applyFont="1" applyFill="1" applyBorder="1" applyAlignment="1">
      <alignment horizontal="left" vertical="top" wrapText="1"/>
    </xf>
    <xf numFmtId="0" fontId="28" fillId="5" borderId="14" xfId="0" applyNumberFormat="1" applyFont="1" applyFill="1" applyBorder="1" applyAlignment="1">
      <alignment horizontal="left" vertical="top" wrapText="1"/>
    </xf>
    <xf numFmtId="0" fontId="28" fillId="5" borderId="16" xfId="0" applyNumberFormat="1" applyFont="1" applyFill="1" applyBorder="1" applyAlignment="1">
      <alignment horizontal="left" vertical="top" wrapText="1"/>
    </xf>
    <xf numFmtId="0" fontId="28" fillId="5" borderId="15" xfId="0" applyNumberFormat="1" applyFont="1" applyFill="1" applyBorder="1" applyAlignment="1">
      <alignment horizontal="left" vertical="top" wrapText="1"/>
    </xf>
    <xf numFmtId="0" fontId="26" fillId="2" borderId="0" xfId="0" applyFont="1" applyFill="1" applyBorder="1" applyAlignment="1">
      <alignment horizontal="left" vertical="top" wrapText="1"/>
    </xf>
    <xf numFmtId="0" fontId="26" fillId="2" borderId="5" xfId="0" applyFont="1" applyFill="1" applyBorder="1" applyAlignment="1">
      <alignment horizontal="left" vertical="top" wrapText="1"/>
    </xf>
    <xf numFmtId="0" fontId="26" fillId="2" borderId="16"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64" fillId="5" borderId="1" xfId="0" applyNumberFormat="1" applyFont="1" applyFill="1" applyBorder="1" applyAlignment="1">
      <alignment horizontal="right" vertical="center" wrapText="1"/>
    </xf>
    <xf numFmtId="0" fontId="65" fillId="3" borderId="2" xfId="0" applyNumberFormat="1" applyFont="1" applyFill="1" applyBorder="1" applyAlignment="1">
      <alignment horizontal="left" vertical="center" wrapText="1"/>
    </xf>
    <xf numFmtId="0" fontId="65" fillId="3" borderId="3" xfId="0" applyNumberFormat="1" applyFont="1" applyFill="1" applyBorder="1" applyAlignment="1">
      <alignment horizontal="left" vertical="center" wrapText="1"/>
    </xf>
    <xf numFmtId="0" fontId="27" fillId="0" borderId="3" xfId="0" applyNumberFormat="1" applyFont="1" applyFill="1" applyBorder="1" applyAlignment="1">
      <alignment horizontal="left" vertical="center" wrapText="1"/>
    </xf>
    <xf numFmtId="0" fontId="27" fillId="0" borderId="4" xfId="0" applyNumberFormat="1" applyFont="1" applyFill="1" applyBorder="1" applyAlignment="1">
      <alignment horizontal="left" vertical="center" wrapText="1"/>
    </xf>
    <xf numFmtId="0" fontId="52" fillId="15" borderId="18" xfId="9" applyFont="1" applyFill="1" applyBorder="1" applyAlignment="1">
      <alignment horizontal="center" vertical="center" wrapText="1"/>
    </xf>
    <xf numFmtId="0" fontId="52" fillId="15" borderId="19" xfId="9" applyFont="1" applyFill="1" applyBorder="1" applyAlignment="1">
      <alignment horizontal="center" vertical="center" wrapText="1"/>
    </xf>
    <xf numFmtId="0" fontId="40" fillId="0" borderId="13" xfId="0" applyNumberFormat="1" applyFont="1" applyBorder="1" applyAlignment="1">
      <alignment horizontal="center" vertical="center"/>
    </xf>
    <xf numFmtId="0" fontId="40" fillId="0" borderId="0" xfId="0" applyNumberFormat="1" applyFont="1" applyBorder="1" applyAlignment="1">
      <alignment horizontal="center" vertical="center"/>
    </xf>
    <xf numFmtId="0" fontId="40" fillId="0" borderId="5" xfId="0" applyNumberFormat="1" applyFont="1" applyBorder="1" applyAlignment="1">
      <alignment horizontal="center" vertical="center"/>
    </xf>
    <xf numFmtId="0" fontId="51" fillId="15" borderId="11" xfId="0" applyNumberFormat="1" applyFont="1" applyFill="1" applyBorder="1" applyAlignment="1">
      <alignment horizontal="center" vertical="center" wrapText="1"/>
    </xf>
    <xf numFmtId="0" fontId="51" fillId="15" borderId="12" xfId="0" applyNumberFormat="1" applyFont="1" applyFill="1" applyBorder="1" applyAlignment="1">
      <alignment horizontal="center" vertical="center" wrapText="1"/>
    </xf>
    <xf numFmtId="0" fontId="51" fillId="15" borderId="6" xfId="0" applyNumberFormat="1" applyFont="1" applyFill="1" applyBorder="1" applyAlignment="1">
      <alignment horizontal="center" vertical="center" wrapText="1"/>
    </xf>
    <xf numFmtId="0" fontId="51" fillId="15" borderId="14" xfId="0" applyNumberFormat="1" applyFont="1" applyFill="1" applyBorder="1" applyAlignment="1">
      <alignment horizontal="center" vertical="center" wrapText="1"/>
    </xf>
    <xf numFmtId="0" fontId="51" fillId="15" borderId="16" xfId="0" applyNumberFormat="1" applyFont="1" applyFill="1" applyBorder="1" applyAlignment="1">
      <alignment horizontal="center" vertical="center" wrapText="1"/>
    </xf>
    <xf numFmtId="0" fontId="51" fillId="15" borderId="15" xfId="0" applyNumberFormat="1" applyFont="1" applyFill="1" applyBorder="1" applyAlignment="1">
      <alignment horizontal="center" vertical="center" wrapText="1"/>
    </xf>
    <xf numFmtId="0" fontId="51" fillId="15" borderId="11" xfId="0" applyNumberFormat="1" applyFont="1" applyFill="1" applyBorder="1" applyAlignment="1">
      <alignment horizontal="center" vertical="center"/>
    </xf>
    <xf numFmtId="0" fontId="51" fillId="15" borderId="12" xfId="0" applyNumberFormat="1" applyFont="1" applyFill="1" applyBorder="1" applyAlignment="1">
      <alignment horizontal="center" vertical="center"/>
    </xf>
    <xf numFmtId="0" fontId="51" fillId="15" borderId="6" xfId="0" applyNumberFormat="1" applyFont="1" applyFill="1" applyBorder="1" applyAlignment="1">
      <alignment horizontal="center" vertical="center"/>
    </xf>
    <xf numFmtId="0" fontId="51" fillId="15" borderId="14" xfId="0" applyNumberFormat="1" applyFont="1" applyFill="1" applyBorder="1" applyAlignment="1">
      <alignment horizontal="center" vertical="center"/>
    </xf>
    <xf numFmtId="0" fontId="51" fillId="15" borderId="16" xfId="0" applyNumberFormat="1" applyFont="1" applyFill="1" applyBorder="1" applyAlignment="1">
      <alignment horizontal="center" vertical="center"/>
    </xf>
    <xf numFmtId="0" fontId="51" fillId="15" borderId="15" xfId="0" applyNumberFormat="1" applyFont="1" applyFill="1" applyBorder="1" applyAlignment="1">
      <alignment horizontal="center" vertical="center"/>
    </xf>
    <xf numFmtId="0" fontId="51" fillId="15" borderId="18" xfId="9" applyFont="1" applyFill="1" applyBorder="1" applyAlignment="1">
      <alignment horizontal="center" vertical="center" wrapText="1"/>
    </xf>
    <xf numFmtId="0" fontId="51" fillId="15" borderId="19" xfId="9" applyFont="1" applyFill="1" applyBorder="1" applyAlignment="1">
      <alignment horizontal="center" vertical="center" wrapText="1"/>
    </xf>
    <xf numFmtId="0" fontId="51" fillId="19" borderId="18" xfId="9" applyFont="1" applyFill="1" applyBorder="1" applyAlignment="1">
      <alignment horizontal="center" vertical="center" wrapText="1"/>
    </xf>
    <xf numFmtId="0" fontId="51" fillId="19" borderId="19" xfId="9" applyFont="1" applyFill="1" applyBorder="1" applyAlignment="1">
      <alignment horizontal="center" vertical="center" wrapText="1"/>
    </xf>
    <xf numFmtId="0" fontId="40" fillId="5" borderId="11" xfId="0" applyNumberFormat="1" applyFont="1" applyFill="1" applyBorder="1" applyAlignment="1">
      <alignment horizontal="center" vertical="center"/>
    </xf>
    <xf numFmtId="0" fontId="40" fillId="5" borderId="12" xfId="0" applyNumberFormat="1" applyFont="1" applyFill="1" applyBorder="1" applyAlignment="1">
      <alignment horizontal="center" vertical="center"/>
    </xf>
    <xf numFmtId="0" fontId="40" fillId="5" borderId="6" xfId="0" applyNumberFormat="1" applyFont="1" applyFill="1" applyBorder="1" applyAlignment="1">
      <alignment horizontal="center" vertical="center"/>
    </xf>
    <xf numFmtId="0" fontId="40" fillId="5" borderId="13" xfId="0" applyNumberFormat="1" applyFont="1" applyFill="1" applyBorder="1" applyAlignment="1">
      <alignment horizontal="center" vertical="center"/>
    </xf>
    <xf numFmtId="0" fontId="40" fillId="5" borderId="0" xfId="0" applyNumberFormat="1" applyFont="1" applyFill="1" applyBorder="1" applyAlignment="1">
      <alignment horizontal="center" vertical="center"/>
    </xf>
    <xf numFmtId="0" fontId="40" fillId="5" borderId="5" xfId="0" applyNumberFormat="1" applyFont="1" applyFill="1" applyBorder="1" applyAlignment="1">
      <alignment horizontal="center" vertical="center"/>
    </xf>
    <xf numFmtId="0" fontId="40" fillId="5" borderId="14" xfId="0" applyNumberFormat="1" applyFont="1" applyFill="1" applyBorder="1" applyAlignment="1">
      <alignment horizontal="center" vertical="center"/>
    </xf>
    <xf numFmtId="0" fontId="40" fillId="5" borderId="16" xfId="0" applyNumberFormat="1" applyFont="1" applyFill="1" applyBorder="1" applyAlignment="1">
      <alignment horizontal="center" vertical="center"/>
    </xf>
    <xf numFmtId="0" fontId="40" fillId="5" borderId="15" xfId="0" applyNumberFormat="1" applyFont="1" applyFill="1" applyBorder="1" applyAlignment="1">
      <alignment horizontal="center" vertical="center"/>
    </xf>
  </cellXfs>
  <cellStyles count="93">
    <cellStyle name="Hyperlink 2" xfId="4" xr:uid="{9F0E0A36-5624-45CF-B333-2C5AF336D0CB}"/>
    <cellStyle name="Normal" xfId="0" builtinId="0"/>
    <cellStyle name="Normal 2" xfId="9" xr:uid="{64DE6FB7-F08F-4AF0-92C4-B2D7191B5AFB}"/>
    <cellStyle name="Normal 3" xfId="1" xr:uid="{2AC8ADC4-B574-4048-8F25-6C4814CE3854}"/>
    <cellStyle name="Normal 3 10" xfId="63" xr:uid="{1966FF6E-E285-4022-8DA7-C46BB2082293}"/>
    <cellStyle name="Normal 3 2" xfId="2" xr:uid="{4FDE45D8-B2D6-4DF5-810D-A1C80F2C2624}"/>
    <cellStyle name="Normal 3 2 2" xfId="6" xr:uid="{DD0371F2-D819-4F76-AF01-DE6973D89054}"/>
    <cellStyle name="Normal 3 2 2 2" xfId="22" xr:uid="{AD511478-DE4E-4594-AA2B-053D3CF14699}"/>
    <cellStyle name="Normal 3 2 2 2 2" xfId="45" xr:uid="{BFFBC07C-F43F-49C8-8108-2F7B7B35C2D6}"/>
    <cellStyle name="Normal 3 2 2 2 3" xfId="82" xr:uid="{99945F06-A6E7-46A5-A1D4-6BB04E28A07C}"/>
    <cellStyle name="Normal 3 2 2 3" xfId="29" xr:uid="{2E34329F-AF16-46E8-88A3-844A9C85B18F}"/>
    <cellStyle name="Normal 3 2 2 3 2" xfId="59" xr:uid="{930EEC8F-7616-4142-84A8-734C80CED983}"/>
    <cellStyle name="Normal 3 2 2 3 3" xfId="89" xr:uid="{8AEC037A-79DE-4797-997B-5646698A96DD}"/>
    <cellStyle name="Normal 3 2 2 4" xfId="15" xr:uid="{AF92F15E-038A-4B0D-A506-E17CB7FB03B1}"/>
    <cellStyle name="Normal 3 2 2 4 2" xfId="52" xr:uid="{AB00E970-98CB-4BD5-81E6-830238962DFA}"/>
    <cellStyle name="Normal 3 2 2 4 3" xfId="75" xr:uid="{D39A8F61-2B98-4803-A5CB-1CBDC378C0C3}"/>
    <cellStyle name="Normal 3 2 2 5" xfId="37" xr:uid="{14F8E7C7-34B1-4CED-AE73-852D5141844F}"/>
    <cellStyle name="Normal 3 2 2 6" xfId="67" xr:uid="{79947A40-4A4B-42A5-9154-13615088B203}"/>
    <cellStyle name="Normal 3 2 3" xfId="8" xr:uid="{7FBFD532-9AD9-49B9-816A-D792BBAEDDC1}"/>
    <cellStyle name="Normal 3 2 3 2" xfId="24" xr:uid="{D9CBB665-65FE-401C-BE1D-6F0E01AEA624}"/>
    <cellStyle name="Normal 3 2 3 2 2" xfId="47" xr:uid="{A8D38E52-E30A-456B-B23C-A6B593A4BB74}"/>
    <cellStyle name="Normal 3 2 3 2 3" xfId="84" xr:uid="{9EC4C794-7F47-4662-9D58-69909D9A7861}"/>
    <cellStyle name="Normal 3 2 3 3" xfId="31" xr:uid="{AF54D02E-D4FC-48D3-A621-B99D492A2561}"/>
    <cellStyle name="Normal 3 2 3 3 2" xfId="61" xr:uid="{94E885F4-760A-42F1-B751-29CA64E2D1F9}"/>
    <cellStyle name="Normal 3 2 3 3 3" xfId="91" xr:uid="{E1A14FE5-94F2-4908-85A8-981C51E2132D}"/>
    <cellStyle name="Normal 3 2 3 4" xfId="17" xr:uid="{06F1184E-9572-478D-BE86-152A546E0406}"/>
    <cellStyle name="Normal 3 2 3 4 2" xfId="54" xr:uid="{7B04CCB4-C940-4615-8E00-8B6B7F60F6FE}"/>
    <cellStyle name="Normal 3 2 3 4 3" xfId="77" xr:uid="{B816EFDC-5610-4C73-845E-389A1CDE5D66}"/>
    <cellStyle name="Normal 3 2 3 5" xfId="39" xr:uid="{37D46F77-701F-4AF3-9B77-72767338B257}"/>
    <cellStyle name="Normal 3 2 3 6" xfId="69" xr:uid="{EC16C259-ACFF-4E99-8323-8FA730FA1B04}"/>
    <cellStyle name="Normal 3 2 4" xfId="19" xr:uid="{1CEBA441-CD3B-4230-9845-6E68CD385C6A}"/>
    <cellStyle name="Normal 3 2 4 2" xfId="42" xr:uid="{E78679ED-59EB-4084-BF8A-6141752EC818}"/>
    <cellStyle name="Normal 3 2 4 3" xfId="79" xr:uid="{94E803E4-1BCE-4F99-B1B7-308BECEF9AAF}"/>
    <cellStyle name="Normal 3 2 5" xfId="26" xr:uid="{DC30ED0B-133D-45A0-A094-FCB1B712C30E}"/>
    <cellStyle name="Normal 3 2 5 2" xfId="57" xr:uid="{77814FC2-903E-4DDA-8853-6607B15DB2BC}"/>
    <cellStyle name="Normal 3 2 5 3" xfId="86" xr:uid="{6521C73A-0B05-46A8-87F6-79448715C21B}"/>
    <cellStyle name="Normal 3 2 6" xfId="12" xr:uid="{C60E17C6-8FA9-4824-884C-0A8F579FCBF6}"/>
    <cellStyle name="Normal 3 2 6 2" xfId="49" xr:uid="{D8A8A146-BDB4-4643-B290-0624C1CE688B}"/>
    <cellStyle name="Normal 3 2 6 3" xfId="72" xr:uid="{8DF7E4CA-F63D-42EC-9956-DF7E3119C406}"/>
    <cellStyle name="Normal 3 2 7" xfId="34" xr:uid="{B1541F17-07D8-4DE1-8DF4-E78E5D1C8C44}"/>
    <cellStyle name="Normal 3 2 8" xfId="64" xr:uid="{1CF83F64-C6E2-4D62-B7DE-711A0144DDB3}"/>
    <cellStyle name="Normal 3 3" xfId="3" xr:uid="{E0647A80-D5D8-4315-A031-9DB9C6F8ED5D}"/>
    <cellStyle name="Normal 3 3 2" xfId="10" xr:uid="{FC852060-71B4-499C-B1C0-58EB48410F18}"/>
    <cellStyle name="Normal 3 3 2 2" xfId="20" xr:uid="{82B32A4B-45D8-4455-BB2D-2E2F15FB1F81}"/>
    <cellStyle name="Normal 3 3 2 2 2" xfId="55" xr:uid="{AA920DFE-4109-4C74-938E-BDB5916D41C2}"/>
    <cellStyle name="Normal 3 3 2 2 3" xfId="80" xr:uid="{07DE5778-0B2B-4235-A6E7-8B4EFA621E06}"/>
    <cellStyle name="Normal 3 3 2 3" xfId="32" xr:uid="{7A9A52F2-2B4E-4289-B974-DFAB8908FBEA}"/>
    <cellStyle name="Normal 3 3 2 3 2" xfId="92" xr:uid="{A836A928-00CF-4FF2-8E00-F040974885B2}"/>
    <cellStyle name="Normal 3 3 2 4" xfId="40" xr:uid="{D0E0DC8D-1EA2-430C-A27E-18E07251E05F}"/>
    <cellStyle name="Normal 3 3 2 5" xfId="70" xr:uid="{70D7DF5B-4E64-4E93-AE28-D87C764C1AAA}"/>
    <cellStyle name="Normal 3 3 3" xfId="27" xr:uid="{578C2477-1305-40E2-89B4-612DEC3DF26A}"/>
    <cellStyle name="Normal 3 3 3 2" xfId="43" xr:uid="{87ACBDC1-0387-4DFA-A9BE-C160A755129B}"/>
    <cellStyle name="Normal 3 3 3 3" xfId="87" xr:uid="{3A20C9F5-BD6A-418D-9696-337BD4ADC082}"/>
    <cellStyle name="Normal 3 3 4" xfId="13" xr:uid="{F88BB24C-3B0A-49A3-A27C-95DFBC034ED8}"/>
    <cellStyle name="Normal 3 3 4 2" xfId="50" xr:uid="{1AED0406-915D-450C-9179-F16F0FEF9E53}"/>
    <cellStyle name="Normal 3 3 4 3" xfId="73" xr:uid="{DA7F95E8-7E76-4040-A592-7C6AB3E96FF3}"/>
    <cellStyle name="Normal 3 3 5" xfId="35" xr:uid="{CD364575-328D-42C8-8427-1B454D98EBF8}"/>
    <cellStyle name="Normal 3 3 6" xfId="65" xr:uid="{CE61914A-3750-46EA-AA69-60F470797B2B}"/>
    <cellStyle name="Normal 3 4" xfId="5" xr:uid="{17C121DB-468B-415C-AC0B-FDBEEE65BDF4}"/>
    <cellStyle name="Normal 3 4 2" xfId="21" xr:uid="{29809A88-8033-419E-B0F9-9FCB2594E779}"/>
    <cellStyle name="Normal 3 4 2 2" xfId="44" xr:uid="{EEE5C4D8-A8D6-4D6C-923C-98376939C6A8}"/>
    <cellStyle name="Normal 3 4 2 3" xfId="81" xr:uid="{50B64FCA-D6D0-48EB-B154-32B2F535D312}"/>
    <cellStyle name="Normal 3 4 3" xfId="28" xr:uid="{F4E57804-C852-41B2-9291-1D602B9BE2A4}"/>
    <cellStyle name="Normal 3 4 3 2" xfId="58" xr:uid="{3145F037-0FB7-4761-BFDC-87C38FE43B03}"/>
    <cellStyle name="Normal 3 4 3 3" xfId="88" xr:uid="{8998FD7D-5961-4456-89AC-001DC699D033}"/>
    <cellStyle name="Normal 3 4 4" xfId="14" xr:uid="{4568E092-B1D7-47FF-9B03-F9CD0DA0EABE}"/>
    <cellStyle name="Normal 3 4 4 2" xfId="51" xr:uid="{78134D03-1B22-45C6-85BA-759D3843A6C4}"/>
    <cellStyle name="Normal 3 4 4 3" xfId="74" xr:uid="{FA515E20-FDFD-4C59-A788-ABBE4B99B851}"/>
    <cellStyle name="Normal 3 4 5" xfId="36" xr:uid="{942D16F4-9A14-4C6E-A692-40F00CDD51D3}"/>
    <cellStyle name="Normal 3 4 6" xfId="66" xr:uid="{5AFF8CC2-C91B-415C-ABA0-C9B2C04E3359}"/>
    <cellStyle name="Normal 3 5" xfId="7" xr:uid="{E2458971-F50D-438A-8CA1-2304CE67FB45}"/>
    <cellStyle name="Normal 3 5 2" xfId="23" xr:uid="{4FE791FD-49E5-40DB-A6B0-8F4DE31500C9}"/>
    <cellStyle name="Normal 3 5 2 2" xfId="46" xr:uid="{7708ED54-8C8E-4748-B21D-05AD856572D5}"/>
    <cellStyle name="Normal 3 5 2 3" xfId="83" xr:uid="{B4494B8F-CB54-4EAC-AA1C-72C7FFB85DAA}"/>
    <cellStyle name="Normal 3 5 3" xfId="30" xr:uid="{88B18014-CD4C-4303-8DAC-E5897AF80D94}"/>
    <cellStyle name="Normal 3 5 3 2" xfId="60" xr:uid="{4706D97B-B40D-4C38-8B2D-7677997DB616}"/>
    <cellStyle name="Normal 3 5 3 3" xfId="90" xr:uid="{FFDEC854-6154-4C09-A5B9-BCD302E11495}"/>
    <cellStyle name="Normal 3 5 4" xfId="16" xr:uid="{48123D96-06E5-41E1-B66F-32218739E9B2}"/>
    <cellStyle name="Normal 3 5 4 2" xfId="53" xr:uid="{C63B27CF-792E-4384-A6B4-533FA3FFA670}"/>
    <cellStyle name="Normal 3 5 4 3" xfId="76" xr:uid="{B3A34EA9-A5BB-4391-9D2E-5982DEEB59F3}"/>
    <cellStyle name="Normal 3 5 5" xfId="38" xr:uid="{AE7FDC31-FE28-4CD7-A388-E97657F5559A}"/>
    <cellStyle name="Normal 3 5 6" xfId="68" xr:uid="{1393B7C3-F33B-4683-ACDB-B54DBC6A4C74}"/>
    <cellStyle name="Normal 3 6" xfId="18" xr:uid="{B2D51DDF-8289-42E9-AABC-9D0ED225DE61}"/>
    <cellStyle name="Normal 3 6 2" xfId="41" xr:uid="{5C213CCE-E91E-4E50-9860-F99340F7AF80}"/>
    <cellStyle name="Normal 3 6 3" xfId="78" xr:uid="{751FF4B8-DC6F-48B2-A8FC-7183B208768A}"/>
    <cellStyle name="Normal 3 7" xfId="25" xr:uid="{CE1C5928-D5C7-43C7-8FC1-F883DAF99A6E}"/>
    <cellStyle name="Normal 3 7 2" xfId="56" xr:uid="{4D540C1D-6919-470A-A05C-EB66055EE3C5}"/>
    <cellStyle name="Normal 3 7 3" xfId="85" xr:uid="{940C96D4-4AA0-4A30-865E-B9A383DACCE0}"/>
    <cellStyle name="Normal 3 8" xfId="11" xr:uid="{4A3734D3-44CC-4776-9565-0FFA522E126C}"/>
    <cellStyle name="Normal 3 8 2" xfId="48" xr:uid="{F273BC17-DD31-4975-96BA-4EF330045282}"/>
    <cellStyle name="Normal 3 8 3" xfId="71" xr:uid="{2E4227AC-AE5A-45F7-BE37-023FA1C153C2}"/>
    <cellStyle name="Normal 3 9" xfId="33" xr:uid="{AB7F2A9C-EEC1-4169-9CD1-D8793C369C3D}"/>
    <cellStyle name="Normal 5" xfId="62" xr:uid="{CA013060-CE1D-47FA-A618-0D7B807D205D}"/>
  </cellStyles>
  <dxfs count="1">
    <dxf>
      <font>
        <strike val="0"/>
      </font>
      <fill>
        <patternFill>
          <bgColor rgb="FFFF0000"/>
        </patternFill>
      </fill>
    </dxf>
  </dxfs>
  <tableStyles count="0" defaultTableStyle="TableStyleMedium2" defaultPivotStyle="PivotStyleLight16"/>
  <colors>
    <mruColors>
      <color rgb="FFFCD5B4"/>
      <color rgb="FFB8CCE4"/>
      <color rgb="FFEBF1DE"/>
      <color rgb="FFC4D79B"/>
      <color rgb="FFDCE6F1"/>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9525</xdr:rowOff>
    </xdr:from>
    <xdr:to>
      <xdr:col>0</xdr:col>
      <xdr:colOff>1697355</xdr:colOff>
      <xdr:row>2</xdr:row>
      <xdr:rowOff>79397</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8575" y="9525"/>
          <a:ext cx="1668780" cy="4508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419100</xdr:colOff>
          <xdr:row>25</xdr:row>
          <xdr:rowOff>219075</xdr:rowOff>
        </xdr:from>
        <xdr:to>
          <xdr:col>0</xdr:col>
          <xdr:colOff>695325</xdr:colOff>
          <xdr:row>27</xdr:row>
          <xdr:rowOff>76200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26</xdr:row>
          <xdr:rowOff>190500</xdr:rowOff>
        </xdr:from>
        <xdr:to>
          <xdr:col>0</xdr:col>
          <xdr:colOff>695325</xdr:colOff>
          <xdr:row>28</xdr:row>
          <xdr:rowOff>66675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29</xdr:row>
          <xdr:rowOff>190500</xdr:rowOff>
        </xdr:from>
        <xdr:to>
          <xdr:col>0</xdr:col>
          <xdr:colOff>695325</xdr:colOff>
          <xdr:row>31</xdr:row>
          <xdr:rowOff>57150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28</xdr:row>
          <xdr:rowOff>190500</xdr:rowOff>
        </xdr:from>
        <xdr:to>
          <xdr:col>0</xdr:col>
          <xdr:colOff>695325</xdr:colOff>
          <xdr:row>30</xdr:row>
          <xdr:rowOff>66675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33</xdr:row>
          <xdr:rowOff>190500</xdr:rowOff>
        </xdr:from>
        <xdr:to>
          <xdr:col>0</xdr:col>
          <xdr:colOff>695325</xdr:colOff>
          <xdr:row>35</xdr:row>
          <xdr:rowOff>66675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34</xdr:row>
          <xdr:rowOff>200025</xdr:rowOff>
        </xdr:from>
        <xdr:to>
          <xdr:col>0</xdr:col>
          <xdr:colOff>695325</xdr:colOff>
          <xdr:row>36</xdr:row>
          <xdr:rowOff>66675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35</xdr:row>
          <xdr:rowOff>200025</xdr:rowOff>
        </xdr:from>
        <xdr:to>
          <xdr:col>0</xdr:col>
          <xdr:colOff>695325</xdr:colOff>
          <xdr:row>37</xdr:row>
          <xdr:rowOff>66675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27</xdr:row>
          <xdr:rowOff>190500</xdr:rowOff>
        </xdr:from>
        <xdr:to>
          <xdr:col>0</xdr:col>
          <xdr:colOff>695325</xdr:colOff>
          <xdr:row>29</xdr:row>
          <xdr:rowOff>66675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32</xdr:row>
          <xdr:rowOff>200025</xdr:rowOff>
        </xdr:from>
        <xdr:to>
          <xdr:col>0</xdr:col>
          <xdr:colOff>695325</xdr:colOff>
          <xdr:row>34</xdr:row>
          <xdr:rowOff>66675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36</xdr:row>
          <xdr:rowOff>200025</xdr:rowOff>
        </xdr:from>
        <xdr:to>
          <xdr:col>0</xdr:col>
          <xdr:colOff>695325</xdr:colOff>
          <xdr:row>38</xdr:row>
          <xdr:rowOff>66675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37</xdr:row>
          <xdr:rowOff>190500</xdr:rowOff>
        </xdr:from>
        <xdr:to>
          <xdr:col>0</xdr:col>
          <xdr:colOff>695325</xdr:colOff>
          <xdr:row>39</xdr:row>
          <xdr:rowOff>66675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31</xdr:row>
          <xdr:rowOff>180975</xdr:rowOff>
        </xdr:from>
        <xdr:to>
          <xdr:col>0</xdr:col>
          <xdr:colOff>695325</xdr:colOff>
          <xdr:row>33</xdr:row>
          <xdr:rowOff>47625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30</xdr:row>
          <xdr:rowOff>180975</xdr:rowOff>
        </xdr:from>
        <xdr:to>
          <xdr:col>0</xdr:col>
          <xdr:colOff>695325</xdr:colOff>
          <xdr:row>32</xdr:row>
          <xdr:rowOff>47625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3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3"/>
  <sheetViews>
    <sheetView topLeftCell="A3" workbookViewId="0">
      <selection activeCell="C9" sqref="C9"/>
    </sheetView>
  </sheetViews>
  <sheetFormatPr defaultColWidth="8.59765625" defaultRowHeight="15" x14ac:dyDescent="0.2"/>
  <cols>
    <col min="3" max="3" width="13.09765625" customWidth="1"/>
  </cols>
  <sheetData>
    <row r="1" spans="1:3" x14ac:dyDescent="0.2">
      <c r="A1" t="s">
        <v>111</v>
      </c>
      <c r="C1" t="s">
        <v>111</v>
      </c>
    </row>
    <row r="2" spans="1:3" x14ac:dyDescent="0.2">
      <c r="A2" t="s">
        <v>112</v>
      </c>
      <c r="C2" t="s">
        <v>112</v>
      </c>
    </row>
    <row r="3" spans="1:3" ht="21" customHeight="1" x14ac:dyDescent="0.2">
      <c r="C3" t="s">
        <v>113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ABD0-6D3C-4FBA-9799-46E227F38C64}">
  <sheetPr>
    <tabColor rgb="FFFF0000"/>
  </sheetPr>
  <dimension ref="A1:E23"/>
  <sheetViews>
    <sheetView zoomScaleNormal="100" workbookViewId="0">
      <selection activeCell="D1" sqref="D1"/>
    </sheetView>
  </sheetViews>
  <sheetFormatPr defaultColWidth="8.59765625" defaultRowHeight="15" customHeight="1" x14ac:dyDescent="0.2"/>
  <cols>
    <col min="1" max="1" width="19.3984375" style="39" customWidth="1"/>
    <col min="2" max="2" width="8.69921875" style="38"/>
    <col min="3" max="3" width="58.5" style="39" customWidth="1"/>
  </cols>
  <sheetData>
    <row r="1" spans="1:5" ht="15" customHeight="1" x14ac:dyDescent="0.2">
      <c r="A1" s="131"/>
      <c r="B1" s="131"/>
      <c r="C1" s="131"/>
    </row>
    <row r="2" spans="1:5" ht="15" customHeight="1" x14ac:dyDescent="0.2">
      <c r="A2" s="131"/>
      <c r="B2" s="131"/>
      <c r="C2" s="131"/>
    </row>
    <row r="3" spans="1:5" ht="15" customHeight="1" x14ac:dyDescent="0.2">
      <c r="A3" s="131"/>
      <c r="B3" s="131"/>
      <c r="C3" s="131"/>
    </row>
    <row r="4" spans="1:5" ht="15" customHeight="1" x14ac:dyDescent="0.2">
      <c r="A4" s="131"/>
      <c r="B4" s="131"/>
      <c r="C4" s="131"/>
    </row>
    <row r="5" spans="1:5" ht="15" customHeight="1" x14ac:dyDescent="0.2">
      <c r="A5" s="131"/>
      <c r="B5" s="131"/>
      <c r="C5" s="131"/>
    </row>
    <row r="6" spans="1:5" ht="31.5" x14ac:dyDescent="0.5">
      <c r="A6" s="133" t="s">
        <v>1050</v>
      </c>
      <c r="B6" s="133"/>
      <c r="C6" s="133"/>
    </row>
    <row r="7" spans="1:5" ht="15" customHeight="1" x14ac:dyDescent="0.25">
      <c r="A7" s="137" t="s">
        <v>1051</v>
      </c>
      <c r="B7" s="137"/>
      <c r="C7" s="137"/>
    </row>
    <row r="8" spans="1:5" ht="15" customHeight="1" x14ac:dyDescent="0.25">
      <c r="A8" s="137" t="s">
        <v>1038</v>
      </c>
      <c r="B8" s="137"/>
      <c r="C8" s="137"/>
    </row>
    <row r="9" spans="1:5" ht="15" customHeight="1" x14ac:dyDescent="0.25">
      <c r="A9" s="137" t="s">
        <v>1206</v>
      </c>
      <c r="B9" s="137"/>
      <c r="C9" s="137"/>
    </row>
    <row r="10" spans="1:5" ht="15" customHeight="1" x14ac:dyDescent="0.25">
      <c r="A10" s="137"/>
      <c r="B10" s="137"/>
      <c r="C10" s="137"/>
    </row>
    <row r="11" spans="1:5" x14ac:dyDescent="0.2">
      <c r="A11" s="135" t="s">
        <v>1047</v>
      </c>
      <c r="B11" s="136"/>
      <c r="C11" s="136"/>
    </row>
    <row r="12" spans="1:5" ht="61.5" customHeight="1" x14ac:dyDescent="0.2">
      <c r="A12" s="134" t="s">
        <v>1048</v>
      </c>
      <c r="B12" s="134"/>
      <c r="C12" s="134"/>
    </row>
    <row r="13" spans="1:5" ht="15" customHeight="1" x14ac:dyDescent="0.2">
      <c r="A13" s="132"/>
      <c r="B13" s="132"/>
      <c r="C13" s="132"/>
      <c r="E13" s="118"/>
    </row>
    <row r="14" spans="1:5" ht="15" customHeight="1" thickBot="1" x14ac:dyDescent="0.3">
      <c r="A14" s="130" t="s">
        <v>526</v>
      </c>
      <c r="B14" s="130"/>
      <c r="C14" s="130"/>
    </row>
    <row r="15" spans="1:5" ht="15" customHeight="1" thickBot="1" x14ac:dyDescent="0.3">
      <c r="A15" s="41" t="s">
        <v>527</v>
      </c>
      <c r="B15" s="42" t="s">
        <v>528</v>
      </c>
      <c r="C15" s="48" t="s">
        <v>537</v>
      </c>
    </row>
    <row r="16" spans="1:5" ht="15" customHeight="1" thickBot="1" x14ac:dyDescent="0.3">
      <c r="A16" s="43">
        <v>43958</v>
      </c>
      <c r="B16" s="57">
        <v>1</v>
      </c>
      <c r="C16" s="45" t="s">
        <v>539</v>
      </c>
    </row>
    <row r="17" spans="1:3" ht="15" customHeight="1" thickBot="1" x14ac:dyDescent="0.3">
      <c r="A17" s="43">
        <v>44095</v>
      </c>
      <c r="B17" s="44">
        <v>1.1000000000000001</v>
      </c>
      <c r="C17" s="49" t="s">
        <v>540</v>
      </c>
    </row>
    <row r="18" spans="1:3" ht="15" customHeight="1" thickBot="1" x14ac:dyDescent="0.25">
      <c r="A18" s="59">
        <v>44351</v>
      </c>
      <c r="B18" s="54">
        <v>2</v>
      </c>
      <c r="C18" s="81" t="s">
        <v>566</v>
      </c>
    </row>
    <row r="19" spans="1:3" ht="15" customHeight="1" thickBot="1" x14ac:dyDescent="0.25">
      <c r="A19" s="59">
        <v>44715</v>
      </c>
      <c r="B19" s="62">
        <v>3</v>
      </c>
      <c r="C19" s="81" t="s">
        <v>567</v>
      </c>
    </row>
    <row r="20" spans="1:3" ht="15" customHeight="1" thickBot="1" x14ac:dyDescent="0.25">
      <c r="A20" s="59">
        <v>45079</v>
      </c>
      <c r="B20" s="62">
        <v>4</v>
      </c>
      <c r="C20" s="81" t="s">
        <v>568</v>
      </c>
    </row>
    <row r="21" spans="1:3" ht="15" customHeight="1" thickBot="1" x14ac:dyDescent="0.25">
      <c r="A21" s="59">
        <v>45433</v>
      </c>
      <c r="B21" s="62">
        <v>5</v>
      </c>
      <c r="C21" s="81" t="s">
        <v>598</v>
      </c>
    </row>
    <row r="22" spans="1:3" ht="15" customHeight="1" thickBot="1" x14ac:dyDescent="0.25">
      <c r="A22" s="59">
        <v>45797</v>
      </c>
      <c r="B22" s="62">
        <v>6</v>
      </c>
      <c r="C22" s="81" t="s">
        <v>1042</v>
      </c>
    </row>
    <row r="23" spans="1:3" ht="15" customHeight="1" x14ac:dyDescent="0.25">
      <c r="A23" s="78" t="s">
        <v>565</v>
      </c>
    </row>
  </sheetData>
  <mergeCells count="14">
    <mergeCell ref="A14:C14"/>
    <mergeCell ref="A1:C1"/>
    <mergeCell ref="A2:C2"/>
    <mergeCell ref="A3:C3"/>
    <mergeCell ref="A5:C5"/>
    <mergeCell ref="A4:C4"/>
    <mergeCell ref="A13:C13"/>
    <mergeCell ref="A6:C6"/>
    <mergeCell ref="A12:C12"/>
    <mergeCell ref="A11:C11"/>
    <mergeCell ref="A7:C7"/>
    <mergeCell ref="A8:C8"/>
    <mergeCell ref="A9:C9"/>
    <mergeCell ref="A10:C10"/>
  </mergeCells>
  <phoneticPr fontId="38"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58587-4544-4EBB-A896-5BA8E778B22D}">
  <dimension ref="A1:C13"/>
  <sheetViews>
    <sheetView zoomScaleNormal="100" workbookViewId="0">
      <selection activeCell="D1" sqref="D1"/>
    </sheetView>
  </sheetViews>
  <sheetFormatPr defaultColWidth="8.59765625" defaultRowHeight="15" x14ac:dyDescent="0.2"/>
  <cols>
    <col min="1" max="1" width="19.3984375" style="39" customWidth="1"/>
    <col min="2" max="2" width="8.69921875" style="38" customWidth="1"/>
    <col min="3" max="3" width="61.8984375" style="39" customWidth="1"/>
  </cols>
  <sheetData>
    <row r="1" spans="1:3" ht="15.75" customHeight="1" x14ac:dyDescent="0.2">
      <c r="A1" s="140" t="s">
        <v>1047</v>
      </c>
      <c r="B1" s="141"/>
      <c r="C1" s="141"/>
    </row>
    <row r="2" spans="1:3" x14ac:dyDescent="0.2">
      <c r="A2" s="119" t="s">
        <v>1052</v>
      </c>
      <c r="B2" s="120"/>
      <c r="C2" s="120"/>
    </row>
    <row r="3" spans="1:3" x14ac:dyDescent="0.2">
      <c r="A3" s="139"/>
      <c r="B3" s="139"/>
      <c r="C3" s="139"/>
    </row>
    <row r="4" spans="1:3" ht="28.5" x14ac:dyDescent="0.45">
      <c r="A4" s="138" t="s">
        <v>570</v>
      </c>
      <c r="B4" s="138"/>
      <c r="C4" s="138"/>
    </row>
    <row r="5" spans="1:3" ht="15.75" thickBot="1" x14ac:dyDescent="0.3">
      <c r="A5" s="78" t="s">
        <v>569</v>
      </c>
      <c r="B5" s="40"/>
      <c r="C5" s="40"/>
    </row>
    <row r="6" spans="1:3" ht="15.75" thickBot="1" x14ac:dyDescent="0.3">
      <c r="A6" s="80" t="s">
        <v>527</v>
      </c>
      <c r="B6" s="121" t="s">
        <v>528</v>
      </c>
      <c r="C6" s="77" t="s">
        <v>1053</v>
      </c>
    </row>
    <row r="7" spans="1:3" ht="15.75" thickBot="1" x14ac:dyDescent="0.3">
      <c r="A7" s="75">
        <v>43958</v>
      </c>
      <c r="B7" s="79">
        <v>1</v>
      </c>
      <c r="C7" s="76" t="s">
        <v>539</v>
      </c>
    </row>
    <row r="8" spans="1:3" ht="15.75" thickBot="1" x14ac:dyDescent="0.3">
      <c r="A8" s="75">
        <v>44095</v>
      </c>
      <c r="B8" s="74">
        <v>1.1000000000000001</v>
      </c>
      <c r="C8" s="76" t="s">
        <v>540</v>
      </c>
    </row>
    <row r="9" spans="1:3" ht="210.75" thickBot="1" x14ac:dyDescent="0.25">
      <c r="A9" s="59">
        <v>44351</v>
      </c>
      <c r="B9" s="62">
        <v>2</v>
      </c>
      <c r="C9" s="81" t="s">
        <v>572</v>
      </c>
    </row>
    <row r="10" spans="1:3" ht="180.75" thickBot="1" x14ac:dyDescent="0.25">
      <c r="A10" s="59">
        <v>44715</v>
      </c>
      <c r="B10" s="62">
        <v>3</v>
      </c>
      <c r="C10" s="81" t="s">
        <v>577</v>
      </c>
    </row>
    <row r="11" spans="1:3" ht="255.75" thickBot="1" x14ac:dyDescent="0.25">
      <c r="A11" s="59">
        <v>45079</v>
      </c>
      <c r="B11" s="62">
        <v>4</v>
      </c>
      <c r="C11" s="81" t="s">
        <v>578</v>
      </c>
    </row>
    <row r="12" spans="1:3" ht="135.75" thickBot="1" x14ac:dyDescent="0.25">
      <c r="A12" s="59">
        <v>45433</v>
      </c>
      <c r="B12" s="62">
        <v>5</v>
      </c>
      <c r="C12" s="81" t="s">
        <v>1035</v>
      </c>
    </row>
    <row r="13" spans="1:3" ht="120.75" customHeight="1" thickBot="1" x14ac:dyDescent="0.25">
      <c r="A13" s="59">
        <v>45797</v>
      </c>
      <c r="B13" s="62">
        <v>6</v>
      </c>
      <c r="C13" s="81" t="s">
        <v>1049</v>
      </c>
    </row>
  </sheetData>
  <mergeCells count="3">
    <mergeCell ref="A4:C4"/>
    <mergeCell ref="A3:C3"/>
    <mergeCell ref="A1:C1"/>
  </mergeCells>
  <phoneticPr fontId="31"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R277"/>
  <sheetViews>
    <sheetView tabSelected="1" zoomScale="87" zoomScaleNormal="87" workbookViewId="0">
      <pane ySplit="2" topLeftCell="A3" activePane="bottomLeft" state="frozen"/>
      <selection pane="bottomLeft" activeCell="H2" sqref="H2:J2"/>
    </sheetView>
  </sheetViews>
  <sheetFormatPr defaultColWidth="6.59765625" defaultRowHeight="15" customHeight="1" x14ac:dyDescent="0.2"/>
  <cols>
    <col min="1" max="1" width="8.19921875" bestFit="1" customWidth="1"/>
    <col min="2" max="2" width="85.5" style="1" bestFit="1" customWidth="1"/>
    <col min="3" max="3" width="15.19921875" style="5" bestFit="1" customWidth="1"/>
    <col min="4" max="4" width="19.5" style="6" customWidth="1"/>
    <col min="5" max="5" width="27.8984375" style="7" bestFit="1" customWidth="1"/>
    <col min="6" max="6" width="14.8984375" style="26" bestFit="1" customWidth="1"/>
    <col min="7" max="7" width="18" style="26" bestFit="1" customWidth="1"/>
    <col min="8" max="8" width="8" style="72" bestFit="1" customWidth="1"/>
    <col min="9" max="9" width="9" style="72" customWidth="1"/>
    <col min="10" max="10" width="6.19921875" style="73" bestFit="1" customWidth="1"/>
    <col min="11" max="11" width="7.19921875" style="1" bestFit="1" customWidth="1"/>
    <col min="12" max="13" width="12.19921875" style="1" bestFit="1" customWidth="1"/>
    <col min="14" max="14" width="7.3984375" style="1" bestFit="1" customWidth="1"/>
    <col min="15" max="15" width="6.59765625" style="1" bestFit="1" customWidth="1"/>
    <col min="16" max="16" width="7.59765625" style="1" bestFit="1" customWidth="1"/>
    <col min="17" max="17" width="10.296875" style="1" bestFit="1" customWidth="1"/>
    <col min="18" max="18" width="12.8984375" style="1" bestFit="1" customWidth="1"/>
    <col min="19" max="19" width="8.69921875" style="1" bestFit="1" customWidth="1"/>
    <col min="20" max="20" width="11.69921875" style="1" bestFit="1" customWidth="1"/>
    <col min="21" max="174" width="6.59765625" style="1" customWidth="1"/>
  </cols>
  <sheetData>
    <row r="1" spans="1:10" ht="62.25" customHeight="1" x14ac:dyDescent="0.2">
      <c r="A1" s="152" t="s">
        <v>1055</v>
      </c>
      <c r="B1" s="152"/>
      <c r="C1" s="152"/>
      <c r="D1" s="152"/>
      <c r="E1" s="110" t="s">
        <v>1054</v>
      </c>
      <c r="F1" s="110" t="s">
        <v>1207</v>
      </c>
      <c r="G1" s="126"/>
      <c r="H1" s="127" t="s">
        <v>560</v>
      </c>
      <c r="I1" s="128" t="s">
        <v>561</v>
      </c>
      <c r="J1" s="129" t="s">
        <v>562</v>
      </c>
    </row>
    <row r="2" spans="1:10" ht="29.1" customHeight="1" x14ac:dyDescent="0.2">
      <c r="A2" s="167" t="s">
        <v>534</v>
      </c>
      <c r="B2" s="168"/>
      <c r="C2" s="158" t="s">
        <v>0</v>
      </c>
      <c r="D2" s="159"/>
      <c r="E2" s="159"/>
      <c r="F2" s="159"/>
      <c r="G2" s="160"/>
      <c r="H2" s="187"/>
      <c r="I2" s="188"/>
      <c r="J2" s="189"/>
    </row>
    <row r="3" spans="1:10" ht="36" customHeight="1" x14ac:dyDescent="0.2">
      <c r="A3" s="164" t="s">
        <v>1</v>
      </c>
      <c r="B3" s="165"/>
      <c r="C3" s="165"/>
      <c r="D3" s="165"/>
      <c r="E3" s="165"/>
      <c r="F3" s="165"/>
      <c r="G3" s="166"/>
      <c r="H3" s="63"/>
      <c r="I3" s="64"/>
      <c r="J3" s="65"/>
    </row>
    <row r="4" spans="1:10" ht="259.5" customHeight="1" x14ac:dyDescent="0.2">
      <c r="A4" s="161" t="s">
        <v>1056</v>
      </c>
      <c r="B4" s="162"/>
      <c r="C4" s="162"/>
      <c r="D4" s="162"/>
      <c r="E4" s="162"/>
      <c r="F4" s="162"/>
      <c r="G4" s="163"/>
      <c r="H4" s="212"/>
      <c r="I4" s="213"/>
      <c r="J4" s="214"/>
    </row>
    <row r="5" spans="1:10" ht="24" customHeight="1" x14ac:dyDescent="0.2">
      <c r="A5" s="155" t="s">
        <v>507</v>
      </c>
      <c r="B5" s="156"/>
      <c r="C5" s="156"/>
      <c r="D5" s="156"/>
      <c r="E5" s="156"/>
      <c r="F5" s="156"/>
      <c r="G5" s="157"/>
      <c r="H5" s="150" t="s">
        <v>563</v>
      </c>
      <c r="I5" s="150"/>
      <c r="J5" s="66">
        <f>SUM(J46,J61,J77,J91,J121,J142,J157,J182,J208,J221,J232,J259,J276)</f>
        <v>0</v>
      </c>
    </row>
    <row r="6" spans="1:10" ht="17.25" customHeight="1" x14ac:dyDescent="0.2">
      <c r="A6" s="19" t="s">
        <v>2</v>
      </c>
      <c r="B6" s="30" t="s">
        <v>510</v>
      </c>
      <c r="C6" s="147" t="s">
        <v>510</v>
      </c>
      <c r="D6" s="148"/>
      <c r="E6" s="148"/>
      <c r="F6" s="148"/>
      <c r="G6" s="149"/>
      <c r="H6" s="206"/>
      <c r="I6" s="207"/>
      <c r="J6" s="208"/>
    </row>
    <row r="7" spans="1:10" ht="22.35" customHeight="1" x14ac:dyDescent="0.2">
      <c r="A7" s="19" t="s">
        <v>3</v>
      </c>
      <c r="B7" s="30" t="s">
        <v>511</v>
      </c>
      <c r="C7" s="147" t="s">
        <v>512</v>
      </c>
      <c r="D7" s="148"/>
      <c r="E7" s="148"/>
      <c r="F7" s="148"/>
      <c r="G7" s="149"/>
      <c r="H7" s="209"/>
      <c r="I7" s="210"/>
      <c r="J7" s="211"/>
    </row>
    <row r="8" spans="1:10" ht="22.35" customHeight="1" x14ac:dyDescent="0.2">
      <c r="A8" s="19" t="s">
        <v>4</v>
      </c>
      <c r="B8" s="30" t="s">
        <v>352</v>
      </c>
      <c r="C8" s="144" t="s">
        <v>352</v>
      </c>
      <c r="D8" s="183"/>
      <c r="E8" s="183"/>
      <c r="F8" s="183"/>
      <c r="G8" s="184"/>
      <c r="H8" s="209"/>
      <c r="I8" s="210"/>
      <c r="J8" s="211"/>
    </row>
    <row r="9" spans="1:10" ht="22.35" customHeight="1" x14ac:dyDescent="0.2">
      <c r="A9" s="19" t="s">
        <v>5</v>
      </c>
      <c r="B9" s="30" t="s">
        <v>353</v>
      </c>
      <c r="C9" s="144" t="s">
        <v>353</v>
      </c>
      <c r="D9" s="145"/>
      <c r="E9" s="145"/>
      <c r="F9" s="145"/>
      <c r="G9" s="146"/>
      <c r="H9" s="209"/>
      <c r="I9" s="210"/>
      <c r="J9" s="211"/>
    </row>
    <row r="10" spans="1:10" ht="22.35" customHeight="1" x14ac:dyDescent="0.2">
      <c r="A10" s="19" t="s">
        <v>7</v>
      </c>
      <c r="B10" s="30" t="s">
        <v>354</v>
      </c>
      <c r="C10" s="144" t="s">
        <v>354</v>
      </c>
      <c r="D10" s="145"/>
      <c r="E10" s="145"/>
      <c r="F10" s="145"/>
      <c r="G10" s="146"/>
      <c r="H10" s="209"/>
      <c r="I10" s="210"/>
      <c r="J10" s="211"/>
    </row>
    <row r="11" spans="1:10" ht="22.35" customHeight="1" x14ac:dyDescent="0.2">
      <c r="A11" s="19" t="s">
        <v>8</v>
      </c>
      <c r="B11" s="30" t="s">
        <v>355</v>
      </c>
      <c r="C11" s="144" t="s">
        <v>355</v>
      </c>
      <c r="D11" s="145"/>
      <c r="E11" s="145"/>
      <c r="F11" s="145"/>
      <c r="G11" s="146"/>
      <c r="H11" s="209"/>
      <c r="I11" s="210"/>
      <c r="J11" s="211"/>
    </row>
    <row r="12" spans="1:10" ht="22.35" customHeight="1" x14ac:dyDescent="0.2">
      <c r="A12" s="19" t="s">
        <v>9</v>
      </c>
      <c r="B12" s="30" t="s">
        <v>120</v>
      </c>
      <c r="C12" s="144" t="s">
        <v>121</v>
      </c>
      <c r="D12" s="145"/>
      <c r="E12" s="145"/>
      <c r="F12" s="145"/>
      <c r="G12" s="146"/>
      <c r="H12" s="209"/>
      <c r="I12" s="210"/>
      <c r="J12" s="211"/>
    </row>
    <row r="13" spans="1:10" ht="22.35" customHeight="1" x14ac:dyDescent="0.2">
      <c r="A13" s="19" t="s">
        <v>10</v>
      </c>
      <c r="B13" s="30" t="s">
        <v>122</v>
      </c>
      <c r="C13" s="144" t="s">
        <v>123</v>
      </c>
      <c r="D13" s="145"/>
      <c r="E13" s="145"/>
      <c r="F13" s="145"/>
      <c r="G13" s="146"/>
      <c r="H13" s="209"/>
      <c r="I13" s="210"/>
      <c r="J13" s="211"/>
    </row>
    <row r="14" spans="1:10" ht="22.35" customHeight="1" x14ac:dyDescent="0.2">
      <c r="A14" s="19" t="s">
        <v>12</v>
      </c>
      <c r="B14" s="30" t="s">
        <v>6</v>
      </c>
      <c r="C14" s="144" t="s">
        <v>508</v>
      </c>
      <c r="D14" s="145"/>
      <c r="E14" s="145"/>
      <c r="F14" s="145"/>
      <c r="G14" s="146"/>
      <c r="H14" s="209"/>
      <c r="I14" s="210"/>
      <c r="J14" s="211"/>
    </row>
    <row r="15" spans="1:10" ht="22.35" customHeight="1" x14ac:dyDescent="0.2">
      <c r="A15" s="19" t="s">
        <v>13</v>
      </c>
      <c r="B15" s="30" t="s">
        <v>513</v>
      </c>
      <c r="C15" s="144" t="s">
        <v>132</v>
      </c>
      <c r="D15" s="145"/>
      <c r="E15" s="145"/>
      <c r="F15" s="145"/>
      <c r="G15" s="146"/>
      <c r="H15" s="209"/>
      <c r="I15" s="210"/>
      <c r="J15" s="211"/>
    </row>
    <row r="16" spans="1:10" ht="22.35" customHeight="1" x14ac:dyDescent="0.2">
      <c r="A16" s="19" t="s">
        <v>14</v>
      </c>
      <c r="B16" s="30" t="s">
        <v>514</v>
      </c>
      <c r="C16" s="144" t="s">
        <v>129</v>
      </c>
      <c r="D16" s="145"/>
      <c r="E16" s="145"/>
      <c r="F16" s="145"/>
      <c r="G16" s="146"/>
      <c r="H16" s="209"/>
      <c r="I16" s="210"/>
      <c r="J16" s="211"/>
    </row>
    <row r="17" spans="1:10" ht="31.5" customHeight="1" x14ac:dyDescent="0.2">
      <c r="A17" s="19" t="s">
        <v>15</v>
      </c>
      <c r="B17" s="30" t="s">
        <v>356</v>
      </c>
      <c r="C17" s="144" t="s">
        <v>576</v>
      </c>
      <c r="D17" s="145"/>
      <c r="E17" s="145"/>
      <c r="F17" s="145"/>
      <c r="G17" s="146"/>
      <c r="H17" s="209"/>
      <c r="I17" s="210"/>
      <c r="J17" s="211"/>
    </row>
    <row r="18" spans="1:10" ht="22.35" customHeight="1" x14ac:dyDescent="0.2">
      <c r="A18" s="19" t="s">
        <v>357</v>
      </c>
      <c r="B18" s="30" t="s">
        <v>515</v>
      </c>
      <c r="C18" s="144" t="s">
        <v>516</v>
      </c>
      <c r="D18" s="145"/>
      <c r="E18" s="145"/>
      <c r="F18" s="145"/>
      <c r="G18" s="146"/>
      <c r="H18" s="209"/>
      <c r="I18" s="210"/>
      <c r="J18" s="211"/>
    </row>
    <row r="19" spans="1:10" ht="22.35" customHeight="1" x14ac:dyDescent="0.2">
      <c r="A19" s="19" t="s">
        <v>358</v>
      </c>
      <c r="B19" s="30" t="s">
        <v>517</v>
      </c>
      <c r="C19" s="144" t="s">
        <v>517</v>
      </c>
      <c r="D19" s="145"/>
      <c r="E19" s="145"/>
      <c r="F19" s="145"/>
      <c r="G19" s="146"/>
      <c r="H19" s="209"/>
      <c r="I19" s="210"/>
      <c r="J19" s="211"/>
    </row>
    <row r="20" spans="1:10" ht="22.35" customHeight="1" x14ac:dyDescent="0.2">
      <c r="A20" s="19" t="s">
        <v>359</v>
      </c>
      <c r="B20" s="30" t="s">
        <v>518</v>
      </c>
      <c r="C20" s="144" t="s">
        <v>519</v>
      </c>
      <c r="D20" s="145"/>
      <c r="E20" s="145"/>
      <c r="F20" s="145"/>
      <c r="G20" s="146"/>
      <c r="H20" s="209"/>
      <c r="I20" s="210"/>
      <c r="J20" s="211"/>
    </row>
    <row r="21" spans="1:10" ht="22.35" customHeight="1" x14ac:dyDescent="0.2">
      <c r="A21" s="19" t="s">
        <v>360</v>
      </c>
      <c r="B21" s="30" t="s">
        <v>520</v>
      </c>
      <c r="C21" s="147" t="s">
        <v>520</v>
      </c>
      <c r="D21" s="148"/>
      <c r="E21" s="148"/>
      <c r="F21" s="148"/>
      <c r="G21" s="149"/>
      <c r="H21" s="209"/>
      <c r="I21" s="210"/>
      <c r="J21" s="211"/>
    </row>
    <row r="22" spans="1:10" ht="22.35" customHeight="1" x14ac:dyDescent="0.2">
      <c r="A22" s="19" t="s">
        <v>361</v>
      </c>
      <c r="B22" s="30" t="s">
        <v>521</v>
      </c>
      <c r="C22" s="147" t="s">
        <v>521</v>
      </c>
      <c r="D22" s="148"/>
      <c r="E22" s="148"/>
      <c r="F22" s="148"/>
      <c r="G22" s="149"/>
      <c r="H22" s="209"/>
      <c r="I22" s="210"/>
      <c r="J22" s="211"/>
    </row>
    <row r="23" spans="1:10" ht="22.35" customHeight="1" x14ac:dyDescent="0.2">
      <c r="A23" s="19" t="s">
        <v>362</v>
      </c>
      <c r="B23" s="30" t="s">
        <v>522</v>
      </c>
      <c r="C23" s="147" t="s">
        <v>523</v>
      </c>
      <c r="D23" s="148"/>
      <c r="E23" s="148"/>
      <c r="F23" s="148"/>
      <c r="G23" s="149"/>
      <c r="H23" s="209"/>
      <c r="I23" s="210"/>
      <c r="J23" s="211"/>
    </row>
    <row r="24" spans="1:10" ht="22.35" customHeight="1" x14ac:dyDescent="0.2">
      <c r="A24" s="19" t="s">
        <v>363</v>
      </c>
      <c r="B24" s="30" t="s">
        <v>524</v>
      </c>
      <c r="C24" s="147" t="s">
        <v>11</v>
      </c>
      <c r="D24" s="148"/>
      <c r="E24" s="148"/>
      <c r="F24" s="148"/>
      <c r="G24" s="149"/>
      <c r="H24" s="209"/>
      <c r="I24" s="210"/>
      <c r="J24" s="211"/>
    </row>
    <row r="25" spans="1:10" s="1" customFormat="1" ht="22.35" customHeight="1" x14ac:dyDescent="0.2">
      <c r="A25" s="155" t="s">
        <v>1057</v>
      </c>
      <c r="B25" s="156"/>
      <c r="C25" s="156"/>
      <c r="D25" s="156"/>
      <c r="E25" s="156"/>
      <c r="F25" s="156"/>
      <c r="G25" s="157"/>
      <c r="H25" s="209"/>
      <c r="I25" s="210"/>
      <c r="J25" s="211"/>
    </row>
    <row r="26" spans="1:10" s="1" customFormat="1" ht="22.35" customHeight="1" x14ac:dyDescent="0.2">
      <c r="A26" s="153" t="s">
        <v>1058</v>
      </c>
      <c r="B26" s="153"/>
      <c r="C26" s="153"/>
      <c r="D26" s="153"/>
      <c r="E26" s="153"/>
      <c r="F26" s="27"/>
      <c r="G26" s="28"/>
      <c r="H26" s="209"/>
      <c r="I26" s="210"/>
      <c r="J26" s="211"/>
    </row>
    <row r="27" spans="1:10" s="1" customFormat="1" ht="20.100000000000001" customHeight="1" x14ac:dyDescent="0.2">
      <c r="A27" s="8"/>
      <c r="B27" s="9" t="s">
        <v>91</v>
      </c>
      <c r="C27" s="9"/>
      <c r="D27" s="9"/>
      <c r="E27" s="9"/>
      <c r="F27" s="9"/>
      <c r="G27" s="25"/>
      <c r="H27" s="209"/>
      <c r="I27" s="210"/>
      <c r="J27" s="211"/>
    </row>
    <row r="28" spans="1:10" s="1" customFormat="1" ht="20.100000000000001" customHeight="1" x14ac:dyDescent="0.2">
      <c r="A28" s="8"/>
      <c r="B28" s="9" t="s">
        <v>92</v>
      </c>
      <c r="C28" s="9"/>
      <c r="D28" s="9"/>
      <c r="E28" s="9"/>
      <c r="F28" s="9"/>
      <c r="G28" s="25"/>
      <c r="H28" s="209"/>
      <c r="I28" s="210"/>
      <c r="J28" s="211"/>
    </row>
    <row r="29" spans="1:10" s="1" customFormat="1" ht="20.100000000000001" customHeight="1" x14ac:dyDescent="0.2">
      <c r="A29" s="8"/>
      <c r="B29" s="9" t="s">
        <v>93</v>
      </c>
      <c r="C29" s="9"/>
      <c r="D29" s="9"/>
      <c r="E29" s="9"/>
      <c r="F29" s="9"/>
      <c r="G29" s="25"/>
      <c r="H29" s="209"/>
      <c r="I29" s="210"/>
      <c r="J29" s="211"/>
    </row>
    <row r="30" spans="1:10" s="1" customFormat="1" ht="20.100000000000001" customHeight="1" x14ac:dyDescent="0.2">
      <c r="A30" s="8"/>
      <c r="B30" s="55" t="s">
        <v>543</v>
      </c>
      <c r="C30" s="9"/>
      <c r="D30" s="9"/>
      <c r="E30" s="9"/>
      <c r="F30" s="9"/>
      <c r="G30" s="25"/>
      <c r="H30" s="209"/>
      <c r="I30" s="210"/>
      <c r="J30" s="211"/>
    </row>
    <row r="31" spans="1:10" s="1" customFormat="1" ht="20.100000000000001" customHeight="1" x14ac:dyDescent="0.2">
      <c r="A31" s="8"/>
      <c r="B31" s="55" t="s">
        <v>573</v>
      </c>
      <c r="C31" s="9"/>
      <c r="D31" s="9"/>
      <c r="E31" s="9"/>
      <c r="F31" s="9"/>
      <c r="G31" s="25"/>
      <c r="H31" s="209"/>
      <c r="I31" s="210"/>
      <c r="J31" s="211"/>
    </row>
    <row r="32" spans="1:10" s="1" customFormat="1" ht="20.100000000000001" customHeight="1" x14ac:dyDescent="0.2">
      <c r="A32" s="8"/>
      <c r="B32" s="55" t="s">
        <v>541</v>
      </c>
      <c r="C32" s="9"/>
      <c r="D32" s="9"/>
      <c r="E32" s="9"/>
      <c r="F32" s="9"/>
      <c r="G32" s="25"/>
      <c r="H32" s="209"/>
      <c r="I32" s="210"/>
      <c r="J32" s="211"/>
    </row>
    <row r="33" spans="1:20" s="1" customFormat="1" ht="20.100000000000001" customHeight="1" x14ac:dyDescent="0.2">
      <c r="A33" s="8"/>
      <c r="B33" s="55" t="s">
        <v>548</v>
      </c>
      <c r="C33" s="9"/>
      <c r="D33" s="9"/>
      <c r="E33" s="9"/>
      <c r="F33" s="9"/>
      <c r="G33" s="25"/>
      <c r="H33" s="209"/>
      <c r="I33" s="210"/>
      <c r="J33" s="211"/>
    </row>
    <row r="34" spans="1:20" s="1" customFormat="1" ht="20.100000000000001" customHeight="1" x14ac:dyDescent="0.2">
      <c r="A34" s="8"/>
      <c r="B34" s="9" t="s">
        <v>464</v>
      </c>
      <c r="C34" s="9"/>
      <c r="D34" s="9"/>
      <c r="E34" s="9"/>
      <c r="F34" s="9"/>
      <c r="G34" s="25"/>
      <c r="H34" s="209"/>
      <c r="I34" s="210"/>
      <c r="J34" s="211"/>
    </row>
    <row r="35" spans="1:20" s="1" customFormat="1" ht="20.100000000000001" customHeight="1" x14ac:dyDescent="0.2">
      <c r="A35" s="8"/>
      <c r="B35" s="9" t="s">
        <v>94</v>
      </c>
      <c r="C35" s="9"/>
      <c r="D35" s="9"/>
      <c r="E35" s="9"/>
      <c r="F35" s="9"/>
      <c r="G35" s="25"/>
      <c r="H35" s="209"/>
      <c r="I35" s="210"/>
      <c r="J35" s="211"/>
    </row>
    <row r="36" spans="1:20" s="1" customFormat="1" ht="20.100000000000001" customHeight="1" x14ac:dyDescent="0.2">
      <c r="A36" s="8"/>
      <c r="B36" s="9" t="s">
        <v>95</v>
      </c>
      <c r="C36" s="9"/>
      <c r="D36" s="9"/>
      <c r="E36" s="9"/>
      <c r="F36" s="9"/>
      <c r="G36" s="25"/>
      <c r="H36" s="209"/>
      <c r="I36" s="210"/>
      <c r="J36" s="211"/>
    </row>
    <row r="37" spans="1:20" s="1" customFormat="1" ht="20.100000000000001" customHeight="1" x14ac:dyDescent="0.2">
      <c r="A37" s="8"/>
      <c r="B37" s="9" t="s">
        <v>96</v>
      </c>
      <c r="C37" s="9"/>
      <c r="D37" s="9"/>
      <c r="E37" s="9"/>
      <c r="F37" s="9"/>
      <c r="G37" s="25"/>
      <c r="H37" s="209"/>
      <c r="I37" s="210"/>
      <c r="J37" s="211"/>
    </row>
    <row r="38" spans="1:20" s="1" customFormat="1" ht="20.100000000000001" customHeight="1" x14ac:dyDescent="0.2">
      <c r="A38" s="8"/>
      <c r="B38" s="9" t="s">
        <v>465</v>
      </c>
      <c r="C38" s="9"/>
      <c r="D38" s="9"/>
      <c r="E38" s="9"/>
      <c r="F38" s="9"/>
      <c r="G38" s="25"/>
      <c r="H38" s="209"/>
      <c r="I38" s="210"/>
      <c r="J38" s="211"/>
    </row>
    <row r="39" spans="1:20" s="1" customFormat="1" ht="20.100000000000001" customHeight="1" x14ac:dyDescent="0.2">
      <c r="A39" s="8"/>
      <c r="B39" s="154" t="s">
        <v>538</v>
      </c>
      <c r="C39" s="154"/>
      <c r="D39" s="154"/>
      <c r="E39" s="154"/>
      <c r="F39" s="9"/>
      <c r="G39" s="25"/>
      <c r="H39" s="209"/>
      <c r="I39" s="210"/>
      <c r="J39" s="211"/>
    </row>
    <row r="40" spans="1:20" s="1" customFormat="1" ht="46.5" customHeight="1" x14ac:dyDescent="0.2">
      <c r="A40" s="176" t="s">
        <v>466</v>
      </c>
      <c r="B40" s="177"/>
      <c r="C40" s="169"/>
      <c r="D40" s="169"/>
      <c r="E40" s="169"/>
      <c r="F40" s="169"/>
      <c r="G40" s="169"/>
      <c r="H40" s="209"/>
      <c r="I40" s="210"/>
      <c r="J40" s="211"/>
    </row>
    <row r="41" spans="1:20" s="1" customFormat="1" ht="42" customHeight="1" x14ac:dyDescent="0.2">
      <c r="A41" s="178" t="s">
        <v>110</v>
      </c>
      <c r="B41" s="179"/>
      <c r="C41" s="169"/>
      <c r="D41" s="169"/>
      <c r="E41" s="169"/>
      <c r="F41" s="169"/>
      <c r="G41" s="169"/>
      <c r="H41" s="209"/>
      <c r="I41" s="210"/>
      <c r="J41" s="211"/>
    </row>
    <row r="42" spans="1:20" s="1" customFormat="1" ht="36" customHeight="1" x14ac:dyDescent="0.2">
      <c r="A42" s="164" t="s">
        <v>16</v>
      </c>
      <c r="B42" s="165"/>
      <c r="C42" s="165"/>
      <c r="D42" s="165"/>
      <c r="E42" s="165"/>
      <c r="F42" s="165"/>
      <c r="G42" s="166"/>
      <c r="H42" s="209"/>
      <c r="I42" s="210"/>
      <c r="J42" s="211"/>
    </row>
    <row r="43" spans="1:20" s="1" customFormat="1" ht="138" customHeight="1" x14ac:dyDescent="0.2">
      <c r="A43" s="170" t="s">
        <v>1059</v>
      </c>
      <c r="B43" s="171"/>
      <c r="C43" s="171"/>
      <c r="D43" s="171"/>
      <c r="E43" s="171"/>
      <c r="F43" s="171"/>
      <c r="G43" s="172"/>
      <c r="H43" s="209"/>
      <c r="I43" s="210"/>
      <c r="J43" s="211"/>
    </row>
    <row r="44" spans="1:20" s="1" customFormat="1" ht="87.75" customHeight="1" x14ac:dyDescent="0.2">
      <c r="A44" s="173"/>
      <c r="B44" s="174"/>
      <c r="C44" s="174"/>
      <c r="D44" s="174"/>
      <c r="E44" s="174"/>
      <c r="F44" s="174"/>
      <c r="G44" s="175"/>
      <c r="H44" s="209"/>
      <c r="I44" s="210"/>
      <c r="J44" s="211"/>
      <c r="K44" s="190" t="s">
        <v>1037</v>
      </c>
      <c r="L44" s="191"/>
      <c r="M44" s="192"/>
      <c r="N44" s="196" t="s">
        <v>606</v>
      </c>
      <c r="O44" s="197"/>
      <c r="P44" s="197"/>
      <c r="Q44" s="198"/>
      <c r="R44" s="202" t="s">
        <v>607</v>
      </c>
      <c r="S44" s="204" t="s">
        <v>610</v>
      </c>
      <c r="T44" s="185" t="s">
        <v>612</v>
      </c>
    </row>
    <row r="45" spans="1:20" s="1" customFormat="1" ht="24.75" customHeight="1" x14ac:dyDescent="0.2">
      <c r="A45" s="180" t="s">
        <v>1043</v>
      </c>
      <c r="B45" s="180"/>
      <c r="C45" s="181" t="s">
        <v>1208</v>
      </c>
      <c r="D45" s="182"/>
      <c r="E45" s="111"/>
      <c r="F45" s="111"/>
      <c r="G45" s="112"/>
      <c r="H45" s="209"/>
      <c r="I45" s="210"/>
      <c r="J45" s="211"/>
      <c r="K45" s="193"/>
      <c r="L45" s="194"/>
      <c r="M45" s="195"/>
      <c r="N45" s="199"/>
      <c r="O45" s="200"/>
      <c r="P45" s="200"/>
      <c r="Q45" s="201"/>
      <c r="R45" s="203"/>
      <c r="S45" s="205"/>
      <c r="T45" s="186"/>
    </row>
    <row r="46" spans="1:20" s="1" customFormat="1" ht="108" x14ac:dyDescent="0.2">
      <c r="A46" s="151" t="s">
        <v>19</v>
      </c>
      <c r="B46" s="151"/>
      <c r="C46" s="122" t="str">
        <f>"Response for " &amp; C45</f>
        <v>Response for Supplier Systems</v>
      </c>
      <c r="D46" s="2" t="s">
        <v>17</v>
      </c>
      <c r="E46" s="2" t="s">
        <v>18</v>
      </c>
      <c r="F46" s="2" t="s">
        <v>338</v>
      </c>
      <c r="G46" s="2" t="s">
        <v>364</v>
      </c>
      <c r="H46" s="142" t="s">
        <v>564</v>
      </c>
      <c r="I46" s="143"/>
      <c r="J46" s="67">
        <f>SUM(J47:J60)</f>
        <v>0</v>
      </c>
      <c r="K46" s="86" t="s">
        <v>600</v>
      </c>
      <c r="L46" s="86" t="s">
        <v>601</v>
      </c>
      <c r="M46" s="86" t="s">
        <v>602</v>
      </c>
      <c r="N46" s="87" t="s">
        <v>603</v>
      </c>
      <c r="O46" s="87" t="s">
        <v>604</v>
      </c>
      <c r="P46" s="87" t="s">
        <v>605</v>
      </c>
      <c r="Q46" s="88" t="s">
        <v>1110</v>
      </c>
      <c r="R46" s="89" t="s">
        <v>608</v>
      </c>
      <c r="S46" s="87" t="s">
        <v>611</v>
      </c>
      <c r="T46" s="87" t="s">
        <v>615</v>
      </c>
    </row>
    <row r="47" spans="1:20" s="1" customFormat="1" ht="57" x14ac:dyDescent="0.2">
      <c r="A47" s="83" t="s">
        <v>158</v>
      </c>
      <c r="B47" s="14" t="s">
        <v>1060</v>
      </c>
      <c r="C47" s="24"/>
      <c r="D47" s="15"/>
      <c r="E47" s="50" t="s">
        <v>365</v>
      </c>
      <c r="F47" s="31">
        <v>22</v>
      </c>
      <c r="G47" s="32" t="s">
        <v>366</v>
      </c>
      <c r="H47" s="68"/>
      <c r="I47" s="68"/>
      <c r="J47" s="69">
        <f t="shared" ref="J47:J60" si="0">H47*I47</f>
        <v>0</v>
      </c>
      <c r="K47" s="90"/>
      <c r="L47" s="90"/>
      <c r="M47" s="90"/>
      <c r="N47" s="91"/>
      <c r="O47" s="91"/>
      <c r="P47" s="91"/>
      <c r="Q47" s="91"/>
      <c r="R47" s="91" t="s">
        <v>609</v>
      </c>
      <c r="S47" s="92" t="s">
        <v>613</v>
      </c>
      <c r="T47" s="93" t="s">
        <v>616</v>
      </c>
    </row>
    <row r="48" spans="1:20" s="1" customFormat="1" ht="42.75" x14ac:dyDescent="0.25">
      <c r="A48" s="83" t="s">
        <v>22</v>
      </c>
      <c r="B48" s="33" t="s">
        <v>20</v>
      </c>
      <c r="C48" s="13"/>
      <c r="D48" s="13"/>
      <c r="E48" s="50" t="s">
        <v>21</v>
      </c>
      <c r="F48" s="31"/>
      <c r="G48" s="32"/>
      <c r="H48" s="68"/>
      <c r="I48" s="68"/>
      <c r="J48" s="69">
        <f t="shared" si="0"/>
        <v>0</v>
      </c>
      <c r="K48" s="94"/>
      <c r="L48" s="94"/>
      <c r="M48" s="94"/>
      <c r="N48" s="95"/>
      <c r="O48" s="95"/>
      <c r="P48" s="95"/>
      <c r="Q48" s="95"/>
      <c r="R48" s="95"/>
      <c r="S48" s="96"/>
      <c r="T48" s="97"/>
    </row>
    <row r="49" spans="1:174" s="1" customFormat="1" ht="42.75" x14ac:dyDescent="0.25">
      <c r="A49" s="83" t="s">
        <v>23</v>
      </c>
      <c r="B49" s="33" t="s">
        <v>367</v>
      </c>
      <c r="C49" s="13"/>
      <c r="D49" s="13"/>
      <c r="E49" s="50" t="s">
        <v>21</v>
      </c>
      <c r="F49" s="31"/>
      <c r="G49" s="32"/>
      <c r="H49" s="68"/>
      <c r="I49" s="68"/>
      <c r="J49" s="69">
        <f>H49*I49</f>
        <v>0</v>
      </c>
      <c r="K49" s="94"/>
      <c r="L49" s="94"/>
      <c r="M49" s="94"/>
      <c r="N49" s="95"/>
      <c r="O49" s="95"/>
      <c r="P49" s="95"/>
      <c r="Q49" s="95"/>
      <c r="R49" s="95"/>
      <c r="S49" s="96"/>
      <c r="T49" s="97"/>
    </row>
    <row r="50" spans="1:174" s="1" customFormat="1" ht="57" x14ac:dyDescent="0.25">
      <c r="A50" s="83" t="s">
        <v>24</v>
      </c>
      <c r="B50" s="33" t="s">
        <v>1039</v>
      </c>
      <c r="C50" s="13"/>
      <c r="D50" s="13"/>
      <c r="E50" s="50" t="s">
        <v>1040</v>
      </c>
      <c r="F50" s="31"/>
      <c r="G50" s="32"/>
      <c r="H50" s="68"/>
      <c r="I50" s="68"/>
      <c r="J50" s="69">
        <f t="shared" si="0"/>
        <v>0</v>
      </c>
      <c r="K50" s="94"/>
      <c r="L50" s="94"/>
      <c r="M50" s="94"/>
      <c r="N50" s="95"/>
      <c r="O50" s="95"/>
      <c r="P50" s="95"/>
      <c r="Q50" s="95"/>
      <c r="R50" s="95"/>
      <c r="S50" s="96"/>
      <c r="T50" s="97"/>
    </row>
    <row r="51" spans="1:174" s="1" customFormat="1" ht="28.5" x14ac:dyDescent="0.2">
      <c r="A51" s="83" t="s">
        <v>25</v>
      </c>
      <c r="B51" s="33" t="s">
        <v>579</v>
      </c>
      <c r="C51" s="46"/>
      <c r="D51" s="13"/>
      <c r="E51" s="50"/>
      <c r="F51" s="31">
        <v>61</v>
      </c>
      <c r="G51" s="32"/>
      <c r="H51" s="68"/>
      <c r="I51" s="68"/>
      <c r="J51" s="69">
        <f t="shared" si="0"/>
        <v>0</v>
      </c>
      <c r="K51" s="90"/>
      <c r="L51" s="90"/>
      <c r="M51" s="90"/>
      <c r="N51" s="91"/>
      <c r="O51" s="91"/>
      <c r="P51" s="91"/>
      <c r="Q51" s="91"/>
      <c r="R51" s="91"/>
      <c r="S51" s="92"/>
      <c r="T51" s="93"/>
    </row>
    <row r="52" spans="1:174" s="1" customFormat="1" ht="28.5" x14ac:dyDescent="0.2">
      <c r="A52" s="83" t="s">
        <v>26</v>
      </c>
      <c r="B52" s="33" t="s">
        <v>580</v>
      </c>
      <c r="C52" s="46"/>
      <c r="D52" s="13"/>
      <c r="E52" s="50"/>
      <c r="F52" s="31">
        <v>62</v>
      </c>
      <c r="G52" s="32"/>
      <c r="H52" s="68"/>
      <c r="I52" s="68"/>
      <c r="J52" s="69">
        <f t="shared" si="0"/>
        <v>0</v>
      </c>
      <c r="K52" s="90"/>
      <c r="L52" s="90"/>
      <c r="M52" s="90"/>
      <c r="N52" s="91"/>
      <c r="O52" s="91"/>
      <c r="P52" s="91"/>
      <c r="Q52" s="91"/>
      <c r="R52" s="91"/>
      <c r="S52" s="92"/>
      <c r="T52" s="93"/>
    </row>
    <row r="53" spans="1:174" s="1" customFormat="1" ht="28.5" x14ac:dyDescent="0.2">
      <c r="A53" s="83" t="s">
        <v>27</v>
      </c>
      <c r="B53" s="33" t="s">
        <v>581</v>
      </c>
      <c r="C53" s="46"/>
      <c r="D53" s="13"/>
      <c r="E53" s="50"/>
      <c r="F53" s="31">
        <v>63</v>
      </c>
      <c r="G53" s="32"/>
      <c r="H53" s="68"/>
      <c r="I53" s="68"/>
      <c r="J53" s="69">
        <f t="shared" si="0"/>
        <v>0</v>
      </c>
      <c r="K53" s="90"/>
      <c r="L53" s="90"/>
      <c r="M53" s="90"/>
      <c r="N53" s="91"/>
      <c r="O53" s="91"/>
      <c r="P53" s="91"/>
      <c r="Q53" s="91"/>
      <c r="R53" s="91"/>
      <c r="S53" s="92"/>
      <c r="T53" s="93"/>
    </row>
    <row r="54" spans="1:174" s="1" customFormat="1" ht="28.5" x14ac:dyDescent="0.2">
      <c r="A54" s="83" t="s">
        <v>368</v>
      </c>
      <c r="B54" s="33" t="s">
        <v>475</v>
      </c>
      <c r="C54" s="13"/>
      <c r="D54" s="10"/>
      <c r="E54" s="50" t="str">
        <f>IF(C54="","",IF(C54="Yes","Provide a detailed summary of the breach and actions taken to mitigate identified vulnerabilities.",""))</f>
        <v/>
      </c>
      <c r="F54" s="34">
        <v>34</v>
      </c>
      <c r="G54" s="34" t="s">
        <v>369</v>
      </c>
      <c r="H54" s="68"/>
      <c r="I54" s="68"/>
      <c r="J54" s="69">
        <f t="shared" si="0"/>
        <v>0</v>
      </c>
      <c r="K54" s="90"/>
      <c r="L54" s="90"/>
      <c r="M54" s="90"/>
      <c r="N54" s="98"/>
      <c r="O54" s="91"/>
      <c r="P54" s="91"/>
      <c r="Q54" s="91"/>
      <c r="R54" s="91"/>
      <c r="S54" s="92"/>
      <c r="T54" s="93"/>
    </row>
    <row r="55" spans="1:174" s="1" customFormat="1" ht="42.75" x14ac:dyDescent="0.25">
      <c r="A55" s="83" t="s">
        <v>370</v>
      </c>
      <c r="B55" s="33" t="s">
        <v>371</v>
      </c>
      <c r="C55" s="13"/>
      <c r="D55" s="10"/>
      <c r="E55" s="50"/>
      <c r="F55" s="31"/>
      <c r="G55" s="32"/>
      <c r="H55" s="68"/>
      <c r="I55" s="68"/>
      <c r="J55" s="69">
        <f t="shared" si="0"/>
        <v>0</v>
      </c>
      <c r="K55" s="94"/>
      <c r="L55" s="94"/>
      <c r="M55" s="94"/>
      <c r="N55" s="95"/>
      <c r="O55" s="95"/>
      <c r="P55" s="95"/>
      <c r="Q55" s="95"/>
      <c r="R55" s="95"/>
      <c r="S55" s="96"/>
      <c r="T55" s="97"/>
    </row>
    <row r="56" spans="1:174" s="1" customFormat="1" ht="57" x14ac:dyDescent="0.25">
      <c r="A56" s="83" t="s">
        <v>372</v>
      </c>
      <c r="B56" s="33" t="s">
        <v>476</v>
      </c>
      <c r="C56" s="13"/>
      <c r="D56" s="10"/>
      <c r="E56" s="50"/>
      <c r="F56" s="31"/>
      <c r="G56" s="32"/>
      <c r="H56" s="68"/>
      <c r="I56" s="68"/>
      <c r="J56" s="69">
        <f t="shared" si="0"/>
        <v>0</v>
      </c>
      <c r="K56" s="94"/>
      <c r="L56" s="94"/>
      <c r="M56" s="94"/>
      <c r="N56" s="95"/>
      <c r="O56" s="95"/>
      <c r="P56" s="95"/>
      <c r="Q56" s="95"/>
      <c r="R56" s="95"/>
      <c r="S56" s="96"/>
      <c r="T56" s="97"/>
    </row>
    <row r="57" spans="1:174" s="1" customFormat="1" ht="28.5" x14ac:dyDescent="0.25">
      <c r="A57" s="83" t="s">
        <v>373</v>
      </c>
      <c r="B57" s="33" t="s">
        <v>1033</v>
      </c>
      <c r="C57" s="13"/>
      <c r="D57" s="10"/>
      <c r="E57" s="50"/>
      <c r="F57" s="31"/>
      <c r="G57" s="32"/>
      <c r="H57" s="68"/>
      <c r="I57" s="68"/>
      <c r="J57" s="69">
        <f t="shared" si="0"/>
        <v>0</v>
      </c>
      <c r="K57" s="94"/>
      <c r="L57" s="94"/>
      <c r="M57" s="94"/>
      <c r="N57" s="95"/>
      <c r="O57" s="95"/>
      <c r="P57" s="95"/>
      <c r="Q57" s="95"/>
      <c r="R57" s="95"/>
      <c r="S57" s="96"/>
      <c r="T57" s="99" t="s">
        <v>617</v>
      </c>
    </row>
    <row r="58" spans="1:174" s="1" customFormat="1" ht="28.5" x14ac:dyDescent="0.25">
      <c r="A58" s="83" t="s">
        <v>374</v>
      </c>
      <c r="B58" s="33" t="s">
        <v>1061</v>
      </c>
      <c r="C58" s="13"/>
      <c r="D58" s="13"/>
      <c r="E58" s="50" t="str">
        <f>IF(C58="","",IF(C58="Yes","Describe your Information Security Office, including size, talents, resources, etc.","Describe any plans to create an Information Security Office for your organization."))</f>
        <v/>
      </c>
      <c r="F58" s="31"/>
      <c r="G58" s="32"/>
      <c r="H58" s="68"/>
      <c r="I58" s="68"/>
      <c r="J58" s="69">
        <f t="shared" si="0"/>
        <v>0</v>
      </c>
      <c r="K58" s="94"/>
      <c r="L58" s="94"/>
      <c r="M58" s="94"/>
      <c r="N58" s="95"/>
      <c r="O58" s="95"/>
      <c r="P58" s="95"/>
      <c r="Q58" s="95"/>
      <c r="R58" s="95"/>
      <c r="S58" s="100" t="s">
        <v>614</v>
      </c>
      <c r="T58" s="97"/>
    </row>
    <row r="59" spans="1:174" s="1" customFormat="1" ht="28.5" x14ac:dyDescent="0.25">
      <c r="A59" s="83" t="s">
        <v>375</v>
      </c>
      <c r="B59" s="33" t="s">
        <v>477</v>
      </c>
      <c r="C59" s="13"/>
      <c r="D59" s="10"/>
      <c r="E59" s="50" t="str">
        <f>IF(C59="","",IF(C59="Yes","Describe the structure and size of your Software and System Development teams (e.g. Customer Support, Implementation, Product Management, etc.)","Describe your current teams/organizational structure, as well as any plans to create dedicated teams."))</f>
        <v/>
      </c>
      <c r="F59" s="31"/>
      <c r="G59" s="32"/>
      <c r="H59" s="68"/>
      <c r="I59" s="68"/>
      <c r="J59" s="69">
        <f t="shared" si="0"/>
        <v>0</v>
      </c>
      <c r="K59" s="94"/>
      <c r="L59" s="94"/>
      <c r="M59" s="94"/>
      <c r="N59" s="95"/>
      <c r="O59" s="95"/>
      <c r="P59" s="95"/>
      <c r="Q59" s="95"/>
      <c r="R59" s="95"/>
      <c r="S59" s="96"/>
      <c r="T59" s="97"/>
    </row>
    <row r="60" spans="1:174" s="1" customFormat="1" ht="42.75" x14ac:dyDescent="0.25">
      <c r="A60" s="83" t="s">
        <v>376</v>
      </c>
      <c r="B60" s="33" t="s">
        <v>250</v>
      </c>
      <c r="C60" s="13"/>
      <c r="D60" s="13"/>
      <c r="E60" s="50" t="s">
        <v>247</v>
      </c>
      <c r="F60" s="31"/>
      <c r="G60" s="32"/>
      <c r="H60" s="68"/>
      <c r="I60" s="68"/>
      <c r="J60" s="69">
        <f t="shared" si="0"/>
        <v>0</v>
      </c>
      <c r="K60" s="94"/>
      <c r="L60" s="94"/>
      <c r="M60" s="94"/>
      <c r="N60" s="95"/>
      <c r="O60" s="95"/>
      <c r="P60" s="95"/>
      <c r="Q60" s="95"/>
      <c r="R60" s="95"/>
      <c r="S60" s="96"/>
      <c r="T60" s="97"/>
    </row>
    <row r="61" spans="1:174" s="1" customFormat="1" ht="108" x14ac:dyDescent="0.2">
      <c r="A61" s="151" t="s">
        <v>141</v>
      </c>
      <c r="B61" s="151"/>
      <c r="C61" s="122" t="str">
        <f>"Response for " &amp; C45</f>
        <v>Response for Supplier Systems</v>
      </c>
      <c r="D61" s="2" t="s">
        <v>17</v>
      </c>
      <c r="E61" s="2" t="s">
        <v>18</v>
      </c>
      <c r="F61" s="2" t="s">
        <v>338</v>
      </c>
      <c r="G61" s="2" t="s">
        <v>364</v>
      </c>
      <c r="H61" s="142" t="s">
        <v>564</v>
      </c>
      <c r="I61" s="143"/>
      <c r="J61" s="70">
        <f>SUM(J62:J76)</f>
        <v>0</v>
      </c>
      <c r="K61" s="86" t="s">
        <v>600</v>
      </c>
      <c r="L61" s="86" t="s">
        <v>601</v>
      </c>
      <c r="M61" s="86" t="s">
        <v>602</v>
      </c>
      <c r="N61" s="87" t="s">
        <v>603</v>
      </c>
      <c r="O61" s="87" t="s">
        <v>604</v>
      </c>
      <c r="P61" s="87" t="s">
        <v>605</v>
      </c>
      <c r="Q61" s="88" t="s">
        <v>1110</v>
      </c>
      <c r="R61" s="89" t="s">
        <v>608</v>
      </c>
      <c r="S61" s="87" t="s">
        <v>611</v>
      </c>
      <c r="T61" s="87" t="s">
        <v>615</v>
      </c>
    </row>
    <row r="62" spans="1:174" s="1" customFormat="1" ht="57" x14ac:dyDescent="0.2">
      <c r="A62" s="83" t="s">
        <v>28</v>
      </c>
      <c r="B62" s="14" t="s">
        <v>1062</v>
      </c>
      <c r="C62" s="11"/>
      <c r="D62" s="11"/>
      <c r="E62" s="50" t="s">
        <v>29</v>
      </c>
      <c r="F62" s="31"/>
      <c r="G62" s="32" t="s">
        <v>377</v>
      </c>
      <c r="H62" s="68"/>
      <c r="I62" s="68"/>
      <c r="J62" s="69">
        <f t="shared" ref="J62:J76" si="1">H62*I62</f>
        <v>0</v>
      </c>
      <c r="K62" s="101"/>
      <c r="L62" s="101"/>
      <c r="M62" s="101"/>
      <c r="N62" s="91" t="s">
        <v>619</v>
      </c>
      <c r="O62" s="91" t="s">
        <v>619</v>
      </c>
      <c r="P62" s="91"/>
      <c r="Q62" s="91" t="s">
        <v>1204</v>
      </c>
      <c r="R62" s="98"/>
      <c r="S62" s="92" t="s">
        <v>620</v>
      </c>
      <c r="T62" s="93" t="s">
        <v>621</v>
      </c>
    </row>
    <row r="63" spans="1:174" ht="57" x14ac:dyDescent="0.25">
      <c r="A63" s="83" t="s">
        <v>30</v>
      </c>
      <c r="B63" s="14" t="s">
        <v>478</v>
      </c>
      <c r="C63" s="11"/>
      <c r="D63" s="11"/>
      <c r="E63" s="50" t="s">
        <v>509</v>
      </c>
      <c r="F63" s="31"/>
      <c r="G63" s="32"/>
      <c r="H63" s="68"/>
      <c r="I63" s="68"/>
      <c r="J63" s="69">
        <f t="shared" si="1"/>
        <v>0</v>
      </c>
      <c r="K63" s="102"/>
      <c r="L63" s="102"/>
      <c r="M63" s="102"/>
      <c r="N63" s="95"/>
      <c r="O63" s="95"/>
      <c r="P63" s="95"/>
      <c r="Q63" s="95"/>
      <c r="R63" s="95"/>
      <c r="S63" s="96"/>
      <c r="T63" s="97"/>
      <c r="FR63"/>
    </row>
    <row r="64" spans="1:174" ht="42.75" x14ac:dyDescent="0.2">
      <c r="A64" s="83" t="s">
        <v>157</v>
      </c>
      <c r="B64" s="14" t="s">
        <v>479</v>
      </c>
      <c r="C64" s="11"/>
      <c r="D64" s="11"/>
      <c r="E64" s="51"/>
      <c r="F64" s="31"/>
      <c r="G64" s="32" t="s">
        <v>378</v>
      </c>
      <c r="H64" s="68"/>
      <c r="I64" s="68"/>
      <c r="J64" s="69">
        <f t="shared" si="1"/>
        <v>0</v>
      </c>
      <c r="K64" s="101"/>
      <c r="L64" s="101"/>
      <c r="M64" s="101"/>
      <c r="N64" s="91" t="s">
        <v>622</v>
      </c>
      <c r="O64" s="91" t="s">
        <v>623</v>
      </c>
      <c r="P64" s="91"/>
      <c r="Q64" s="91" t="s">
        <v>1203</v>
      </c>
      <c r="R64" s="98"/>
      <c r="S64" s="92" t="s">
        <v>624</v>
      </c>
      <c r="T64" s="93" t="s">
        <v>621</v>
      </c>
      <c r="FR64"/>
    </row>
    <row r="65" spans="1:174" ht="110.25" x14ac:dyDescent="0.2">
      <c r="A65" s="83" t="s">
        <v>32</v>
      </c>
      <c r="B65" s="14" t="s">
        <v>467</v>
      </c>
      <c r="C65" s="13"/>
      <c r="D65" s="16"/>
      <c r="E65" s="51" t="str">
        <f>IF(C65="","",IF(C65="Yes","Please describe this program and how it is maintained.","Please describe how you ensure integrity in absence of a program that ensures storage security."))</f>
        <v/>
      </c>
      <c r="F65" s="31">
        <v>2</v>
      </c>
      <c r="G65" s="32" t="s">
        <v>379</v>
      </c>
      <c r="H65" s="68"/>
      <c r="I65" s="68"/>
      <c r="J65" s="69">
        <f t="shared" si="1"/>
        <v>0</v>
      </c>
      <c r="K65" s="101"/>
      <c r="L65" s="101"/>
      <c r="M65" s="101"/>
      <c r="N65" s="91" t="s">
        <v>625</v>
      </c>
      <c r="O65" s="91" t="s">
        <v>625</v>
      </c>
      <c r="P65" s="91" t="s">
        <v>626</v>
      </c>
      <c r="Q65" s="91" t="s">
        <v>1202</v>
      </c>
      <c r="R65" s="91" t="s">
        <v>627</v>
      </c>
      <c r="S65" s="92" t="s">
        <v>628</v>
      </c>
      <c r="T65" s="103" t="s">
        <v>629</v>
      </c>
      <c r="FR65"/>
    </row>
    <row r="66" spans="1:174" ht="63" x14ac:dyDescent="0.2">
      <c r="A66" s="83" t="s">
        <v>253</v>
      </c>
      <c r="B66" s="14" t="s">
        <v>331</v>
      </c>
      <c r="C66" s="13"/>
      <c r="D66" s="16"/>
      <c r="E66" s="51" t="str">
        <f>IF(C66="","",IF(C66="Yes","Please describe this process.","Please describe how the integrity of software is verified prior to use."))</f>
        <v/>
      </c>
      <c r="F66" s="31"/>
      <c r="G66" s="32" t="s">
        <v>380</v>
      </c>
      <c r="H66" s="68"/>
      <c r="I66" s="68"/>
      <c r="J66" s="69">
        <f t="shared" si="1"/>
        <v>0</v>
      </c>
      <c r="K66" s="101" t="s">
        <v>618</v>
      </c>
      <c r="L66" s="101"/>
      <c r="M66" s="101" t="s">
        <v>1132</v>
      </c>
      <c r="N66" s="91"/>
      <c r="O66" s="91"/>
      <c r="P66" s="91"/>
      <c r="Q66" s="91" t="s">
        <v>1200</v>
      </c>
      <c r="R66" s="91" t="s">
        <v>630</v>
      </c>
      <c r="S66" s="92" t="s">
        <v>631</v>
      </c>
      <c r="T66" s="93" t="s">
        <v>621</v>
      </c>
      <c r="FR66"/>
    </row>
    <row r="67" spans="1:174" ht="110.25" x14ac:dyDescent="0.2">
      <c r="A67" s="83" t="s">
        <v>261</v>
      </c>
      <c r="B67" s="14" t="s">
        <v>332</v>
      </c>
      <c r="C67" s="13"/>
      <c r="D67" s="16"/>
      <c r="E67" s="51" t="str">
        <f>IF(C67="","",IF(C67="Yes","Please describe this process.",""))</f>
        <v/>
      </c>
      <c r="F67" s="31"/>
      <c r="G67" s="32" t="s">
        <v>381</v>
      </c>
      <c r="H67" s="68"/>
      <c r="I67" s="68"/>
      <c r="J67" s="69">
        <f t="shared" si="1"/>
        <v>0</v>
      </c>
      <c r="K67" s="101" t="s">
        <v>618</v>
      </c>
      <c r="L67" s="101"/>
      <c r="M67" s="101" t="s">
        <v>1132</v>
      </c>
      <c r="N67" s="91" t="s">
        <v>632</v>
      </c>
      <c r="O67" s="91" t="s">
        <v>632</v>
      </c>
      <c r="P67" s="91" t="s">
        <v>633</v>
      </c>
      <c r="Q67" s="91" t="s">
        <v>1201</v>
      </c>
      <c r="R67" s="91" t="s">
        <v>634</v>
      </c>
      <c r="S67" s="92" t="s">
        <v>635</v>
      </c>
      <c r="T67" s="93" t="s">
        <v>636</v>
      </c>
      <c r="FR67"/>
    </row>
    <row r="68" spans="1:174" ht="31.5" x14ac:dyDescent="0.2">
      <c r="A68" s="83" t="s">
        <v>262</v>
      </c>
      <c r="B68" s="14" t="s">
        <v>468</v>
      </c>
      <c r="C68" s="13"/>
      <c r="D68" s="16"/>
      <c r="E68" s="51" t="str">
        <f>IF(C68="","",IF(C68="Yes","Please describe this process.",""))</f>
        <v/>
      </c>
      <c r="F68" s="31">
        <v>59</v>
      </c>
      <c r="G68" s="32" t="s">
        <v>1036</v>
      </c>
      <c r="H68" s="68"/>
      <c r="I68" s="68"/>
      <c r="J68" s="69">
        <f t="shared" si="1"/>
        <v>0</v>
      </c>
      <c r="K68" s="101" t="s">
        <v>618</v>
      </c>
      <c r="L68" s="101"/>
      <c r="M68" s="101"/>
      <c r="N68" s="91" t="s">
        <v>637</v>
      </c>
      <c r="O68" s="91" t="s">
        <v>637</v>
      </c>
      <c r="P68" s="91"/>
      <c r="Q68" s="91" t="s">
        <v>1111</v>
      </c>
      <c r="R68" s="91" t="s">
        <v>638</v>
      </c>
      <c r="S68" s="92" t="s">
        <v>639</v>
      </c>
      <c r="T68" s="93" t="s">
        <v>640</v>
      </c>
      <c r="FR68"/>
    </row>
    <row r="69" spans="1:174" ht="63" x14ac:dyDescent="0.2">
      <c r="A69" s="83" t="s">
        <v>263</v>
      </c>
      <c r="B69" s="14" t="s">
        <v>481</v>
      </c>
      <c r="C69" s="13"/>
      <c r="D69" s="16"/>
      <c r="E69" s="51" t="str">
        <f>IF(C69="","",IF(C69="Yes","Please describe or provide a reference to/copy of this policy.",""))</f>
        <v/>
      </c>
      <c r="F69" s="31">
        <v>48</v>
      </c>
      <c r="G69" s="32" t="s">
        <v>382</v>
      </c>
      <c r="H69" s="68"/>
      <c r="I69" s="68"/>
      <c r="J69" s="69">
        <f t="shared" si="1"/>
        <v>0</v>
      </c>
      <c r="K69" s="101" t="s">
        <v>618</v>
      </c>
      <c r="L69" s="101"/>
      <c r="M69" s="101" t="s">
        <v>1132</v>
      </c>
      <c r="N69" s="91" t="s">
        <v>641</v>
      </c>
      <c r="O69" s="91" t="s">
        <v>641</v>
      </c>
      <c r="P69" s="91"/>
      <c r="Q69" s="91" t="s">
        <v>1200</v>
      </c>
      <c r="R69" s="91" t="s">
        <v>642</v>
      </c>
      <c r="S69" s="92" t="s">
        <v>631</v>
      </c>
      <c r="T69" s="93" t="s">
        <v>621</v>
      </c>
      <c r="FR69"/>
    </row>
    <row r="70" spans="1:174" ht="28.5" x14ac:dyDescent="0.2">
      <c r="A70" s="83" t="s">
        <v>264</v>
      </c>
      <c r="B70" s="14" t="s">
        <v>549</v>
      </c>
      <c r="C70" s="13"/>
      <c r="D70" s="16"/>
      <c r="E70" s="51"/>
      <c r="F70" s="31">
        <v>23</v>
      </c>
      <c r="G70" s="32" t="s">
        <v>383</v>
      </c>
      <c r="H70" s="68"/>
      <c r="I70" s="68"/>
      <c r="J70" s="69">
        <f t="shared" si="1"/>
        <v>0</v>
      </c>
      <c r="K70" s="101"/>
      <c r="L70" s="101"/>
      <c r="M70" s="101"/>
      <c r="N70" s="91"/>
      <c r="O70" s="91"/>
      <c r="P70" s="91"/>
      <c r="Q70" s="91"/>
      <c r="R70" s="91"/>
      <c r="S70" s="92" t="s">
        <v>613</v>
      </c>
      <c r="T70" s="93" t="s">
        <v>616</v>
      </c>
      <c r="FR70"/>
    </row>
    <row r="71" spans="1:174" ht="18" x14ac:dyDescent="0.2">
      <c r="A71" s="83" t="s">
        <v>265</v>
      </c>
      <c r="B71" s="14" t="s">
        <v>272</v>
      </c>
      <c r="C71" s="13"/>
      <c r="D71" s="16"/>
      <c r="E71" s="123" t="str">
        <f>IF(C71="","",IF(C71="Yes","Can this information be shared with the entity?",""))</f>
        <v/>
      </c>
      <c r="F71" s="31" t="s">
        <v>542</v>
      </c>
      <c r="G71" s="32" t="s">
        <v>384</v>
      </c>
      <c r="H71" s="68"/>
      <c r="I71" s="68"/>
      <c r="J71" s="69">
        <f t="shared" si="1"/>
        <v>0</v>
      </c>
      <c r="K71" s="101"/>
      <c r="L71" s="101"/>
      <c r="M71" s="101"/>
      <c r="N71" s="91" t="s">
        <v>641</v>
      </c>
      <c r="O71" s="91" t="s">
        <v>641</v>
      </c>
      <c r="P71" s="91"/>
      <c r="Q71" s="91"/>
      <c r="R71" s="91"/>
      <c r="S71" s="92"/>
      <c r="T71" s="93" t="s">
        <v>643</v>
      </c>
      <c r="FR71"/>
    </row>
    <row r="72" spans="1:174" ht="78.75" x14ac:dyDescent="0.2">
      <c r="A72" s="83" t="s">
        <v>270</v>
      </c>
      <c r="B72" s="14" t="s">
        <v>293</v>
      </c>
      <c r="C72" s="113"/>
      <c r="D72" s="16"/>
      <c r="E72" s="51" t="str">
        <f>IF(C72="","",IF(C72="Yes","Please describe this aspect of your program in adequate detail.",""))</f>
        <v/>
      </c>
      <c r="F72" s="31">
        <v>39</v>
      </c>
      <c r="G72" s="32" t="s">
        <v>385</v>
      </c>
      <c r="H72" s="68"/>
      <c r="I72" s="68"/>
      <c r="J72" s="69">
        <f t="shared" si="1"/>
        <v>0</v>
      </c>
      <c r="K72" s="101"/>
      <c r="L72" s="101"/>
      <c r="M72" s="101"/>
      <c r="N72" s="91"/>
      <c r="O72" s="91"/>
      <c r="P72" s="91"/>
      <c r="Q72" s="91" t="s">
        <v>1199</v>
      </c>
      <c r="R72" s="91" t="s">
        <v>644</v>
      </c>
      <c r="S72" s="92" t="s">
        <v>645</v>
      </c>
      <c r="T72" s="93" t="s">
        <v>646</v>
      </c>
      <c r="FR72"/>
    </row>
    <row r="73" spans="1:174" ht="63" x14ac:dyDescent="0.2">
      <c r="A73" s="83" t="s">
        <v>271</v>
      </c>
      <c r="B73" s="14" t="s">
        <v>1063</v>
      </c>
      <c r="C73" s="13"/>
      <c r="D73" s="16"/>
      <c r="E73" s="51" t="str">
        <f>IF(C73="","",IF(C73="Yes","Please describe this process, including timeframe for and method by which notification is provided.",""))</f>
        <v/>
      </c>
      <c r="F73" s="31"/>
      <c r="G73" s="32" t="s">
        <v>386</v>
      </c>
      <c r="H73" s="68"/>
      <c r="I73" s="68"/>
      <c r="J73" s="69">
        <f t="shared" si="1"/>
        <v>0</v>
      </c>
      <c r="K73" s="101" t="s">
        <v>962</v>
      </c>
      <c r="L73" s="101"/>
      <c r="M73" s="101" t="s">
        <v>1205</v>
      </c>
      <c r="N73" s="91" t="s">
        <v>647</v>
      </c>
      <c r="O73" s="91" t="s">
        <v>647</v>
      </c>
      <c r="P73" s="91" t="s">
        <v>633</v>
      </c>
      <c r="Q73" s="91" t="s">
        <v>1198</v>
      </c>
      <c r="R73" s="91" t="s">
        <v>648</v>
      </c>
      <c r="S73" s="92" t="s">
        <v>635</v>
      </c>
      <c r="T73" s="93" t="s">
        <v>636</v>
      </c>
      <c r="FR73"/>
    </row>
    <row r="74" spans="1:174" ht="28.5" x14ac:dyDescent="0.25">
      <c r="A74" s="83" t="s">
        <v>292</v>
      </c>
      <c r="B74" s="14" t="s">
        <v>316</v>
      </c>
      <c r="C74" s="13"/>
      <c r="D74" s="16"/>
      <c r="E74" s="51"/>
      <c r="F74" s="31"/>
      <c r="G74" s="32"/>
      <c r="H74" s="68"/>
      <c r="I74" s="68"/>
      <c r="J74" s="69">
        <f t="shared" si="1"/>
        <v>0</v>
      </c>
      <c r="K74" s="102"/>
      <c r="L74" s="102"/>
      <c r="M74" s="102"/>
      <c r="N74" s="104" t="s">
        <v>649</v>
      </c>
      <c r="O74" s="104"/>
      <c r="P74" s="95"/>
      <c r="Q74" s="95"/>
      <c r="R74" s="95"/>
      <c r="S74" s="96"/>
      <c r="T74" s="97"/>
      <c r="FR74"/>
    </row>
    <row r="75" spans="1:174" s="1" customFormat="1" ht="74.25" customHeight="1" x14ac:dyDescent="0.25">
      <c r="A75" s="83" t="s">
        <v>298</v>
      </c>
      <c r="B75" s="14" t="s">
        <v>1064</v>
      </c>
      <c r="C75" s="11"/>
      <c r="D75" s="11"/>
      <c r="E75" s="50" t="s">
        <v>31</v>
      </c>
      <c r="F75" s="31"/>
      <c r="G75" s="32"/>
      <c r="H75" s="68"/>
      <c r="I75" s="68"/>
      <c r="J75" s="69">
        <f t="shared" si="1"/>
        <v>0</v>
      </c>
      <c r="K75" s="102"/>
      <c r="L75" s="102"/>
      <c r="M75" s="102"/>
      <c r="N75" s="95"/>
      <c r="O75" s="95"/>
      <c r="P75" s="95"/>
      <c r="Q75" s="95"/>
      <c r="R75" s="95"/>
      <c r="S75" s="96"/>
      <c r="T75" s="97"/>
    </row>
    <row r="76" spans="1:174" s="1" customFormat="1" ht="42.75" x14ac:dyDescent="0.25">
      <c r="A76" s="83" t="s">
        <v>315</v>
      </c>
      <c r="B76" s="3" t="s">
        <v>462</v>
      </c>
      <c r="C76" s="11"/>
      <c r="D76" s="11"/>
      <c r="E76" s="50" t="s">
        <v>155</v>
      </c>
      <c r="F76" s="31"/>
      <c r="G76" s="32"/>
      <c r="H76" s="68"/>
      <c r="I76" s="68"/>
      <c r="J76" s="69">
        <f t="shared" si="1"/>
        <v>0</v>
      </c>
      <c r="K76" s="102"/>
      <c r="L76" s="102"/>
      <c r="M76" s="102"/>
      <c r="N76" s="95"/>
      <c r="O76" s="95"/>
      <c r="P76" s="95"/>
      <c r="Q76" s="95"/>
      <c r="R76" s="95"/>
      <c r="S76" s="96"/>
      <c r="T76" s="97"/>
    </row>
    <row r="77" spans="1:174" ht="108" x14ac:dyDescent="0.2">
      <c r="A77" s="151" t="s">
        <v>156</v>
      </c>
      <c r="B77" s="151"/>
      <c r="C77" s="122" t="str">
        <f>"Response for " &amp; C45</f>
        <v>Response for Supplier Systems</v>
      </c>
      <c r="D77" s="2" t="s">
        <v>17</v>
      </c>
      <c r="E77" s="2" t="s">
        <v>18</v>
      </c>
      <c r="F77" s="2" t="s">
        <v>338</v>
      </c>
      <c r="G77" s="2" t="s">
        <v>364</v>
      </c>
      <c r="H77" s="142" t="s">
        <v>564</v>
      </c>
      <c r="I77" s="143"/>
      <c r="J77" s="70">
        <f>SUM(J78:J90)</f>
        <v>0</v>
      </c>
      <c r="K77" s="86" t="s">
        <v>600</v>
      </c>
      <c r="L77" s="86" t="s">
        <v>601</v>
      </c>
      <c r="M77" s="86" t="s">
        <v>602</v>
      </c>
      <c r="N77" s="87" t="s">
        <v>603</v>
      </c>
      <c r="O77" s="87" t="s">
        <v>604</v>
      </c>
      <c r="P77" s="87" t="s">
        <v>605</v>
      </c>
      <c r="Q77" s="88" t="s">
        <v>1110</v>
      </c>
      <c r="R77" s="89" t="s">
        <v>608</v>
      </c>
      <c r="S77" s="87" t="s">
        <v>611</v>
      </c>
      <c r="T77" s="87" t="s">
        <v>615</v>
      </c>
      <c r="FR77"/>
    </row>
    <row r="78" spans="1:174" ht="42.75" x14ac:dyDescent="0.2">
      <c r="A78" s="83" t="s">
        <v>277</v>
      </c>
      <c r="B78" s="17" t="s">
        <v>482</v>
      </c>
      <c r="C78" s="113"/>
      <c r="D78" s="12"/>
      <c r="E78" s="51" t="str">
        <f>IF(C78="","",IF(C78="Yes","Summarize background check practices including level (e.g. seven-year background checks) and list of any exempted employees or contactors due to restrictions by country of employment.","State plans to implement background checks into your hiring process."))</f>
        <v/>
      </c>
      <c r="F78" s="31" t="s">
        <v>461</v>
      </c>
      <c r="G78" s="32" t="s">
        <v>460</v>
      </c>
      <c r="H78" s="68"/>
      <c r="I78" s="68"/>
      <c r="J78" s="69">
        <f t="shared" ref="J78:J141" si="2">H78*I78</f>
        <v>0</v>
      </c>
      <c r="K78" s="105"/>
      <c r="L78" s="105"/>
      <c r="M78" s="105"/>
      <c r="N78" s="104" t="s">
        <v>651</v>
      </c>
      <c r="O78" s="104" t="s">
        <v>651</v>
      </c>
      <c r="P78" s="104" t="s">
        <v>652</v>
      </c>
      <c r="Q78" s="104" t="s">
        <v>1193</v>
      </c>
      <c r="R78" s="106" t="s">
        <v>749</v>
      </c>
      <c r="S78" s="100" t="s">
        <v>653</v>
      </c>
      <c r="T78" s="99" t="s">
        <v>654</v>
      </c>
      <c r="FR78"/>
    </row>
    <row r="79" spans="1:174" ht="31.5" x14ac:dyDescent="0.2">
      <c r="A79" s="82" t="s">
        <v>535</v>
      </c>
      <c r="B79" s="17" t="s">
        <v>536</v>
      </c>
      <c r="C79" s="113"/>
      <c r="D79" s="12"/>
      <c r="E79" s="51" t="str">
        <f>IF(C79="","",IF(C79="Yes","Provide frequency that supplier's process requires and list of any exempted employees or contactors due to the personnel's area of responsibility or restrictions by country of employment.",""))</f>
        <v/>
      </c>
      <c r="F79" s="31" t="s">
        <v>461</v>
      </c>
      <c r="G79" s="32" t="s">
        <v>460</v>
      </c>
      <c r="H79" s="68"/>
      <c r="I79" s="68"/>
      <c r="J79" s="69">
        <f t="shared" si="2"/>
        <v>0</v>
      </c>
      <c r="K79" s="105"/>
      <c r="L79" s="105"/>
      <c r="M79" s="105"/>
      <c r="N79" s="104" t="s">
        <v>651</v>
      </c>
      <c r="O79" s="104" t="s">
        <v>651</v>
      </c>
      <c r="P79" s="104" t="s">
        <v>652</v>
      </c>
      <c r="Q79" s="104" t="s">
        <v>1193</v>
      </c>
      <c r="R79" s="106" t="s">
        <v>655</v>
      </c>
      <c r="S79" s="100" t="s">
        <v>653</v>
      </c>
      <c r="T79" s="99" t="s">
        <v>654</v>
      </c>
      <c r="FR79"/>
    </row>
    <row r="80" spans="1:174" ht="63" x14ac:dyDescent="0.2">
      <c r="A80" s="83" t="s">
        <v>278</v>
      </c>
      <c r="B80" s="17" t="s">
        <v>1065</v>
      </c>
      <c r="C80" s="113"/>
      <c r="D80" s="12"/>
      <c r="E80" s="51"/>
      <c r="F80" s="31">
        <v>3</v>
      </c>
      <c r="G80" s="32" t="s">
        <v>388</v>
      </c>
      <c r="H80" s="68"/>
      <c r="I80" s="68"/>
      <c r="J80" s="69">
        <f t="shared" si="2"/>
        <v>0</v>
      </c>
      <c r="K80" s="105"/>
      <c r="L80" s="105"/>
      <c r="M80" s="105"/>
      <c r="N80" s="104" t="s">
        <v>651</v>
      </c>
      <c r="O80" s="104" t="s">
        <v>651</v>
      </c>
      <c r="P80" s="104" t="s">
        <v>652</v>
      </c>
      <c r="Q80" s="104" t="s">
        <v>1193</v>
      </c>
      <c r="R80" s="106" t="s">
        <v>656</v>
      </c>
      <c r="S80" s="100" t="s">
        <v>653</v>
      </c>
      <c r="T80" s="99" t="s">
        <v>654</v>
      </c>
      <c r="FR80"/>
    </row>
    <row r="81" spans="1:174" ht="69" customHeight="1" x14ac:dyDescent="0.2">
      <c r="A81" s="83" t="s">
        <v>279</v>
      </c>
      <c r="B81" s="17" t="s">
        <v>1066</v>
      </c>
      <c r="C81" s="12"/>
      <c r="D81" s="115"/>
      <c r="E81" s="51"/>
      <c r="F81" s="32" t="s">
        <v>389</v>
      </c>
      <c r="G81" s="32" t="s">
        <v>1034</v>
      </c>
      <c r="H81" s="68"/>
      <c r="I81" s="68"/>
      <c r="J81" s="69">
        <f t="shared" si="2"/>
        <v>0</v>
      </c>
      <c r="K81" s="105" t="s">
        <v>650</v>
      </c>
      <c r="L81" s="107" t="s">
        <v>1195</v>
      </c>
      <c r="M81" s="105"/>
      <c r="N81" s="106" t="s">
        <v>657</v>
      </c>
      <c r="O81" s="106" t="s">
        <v>658</v>
      </c>
      <c r="P81" s="106" t="s">
        <v>659</v>
      </c>
      <c r="Q81" s="104" t="s">
        <v>1148</v>
      </c>
      <c r="R81" s="104" t="s">
        <v>660</v>
      </c>
      <c r="S81" s="100" t="s">
        <v>661</v>
      </c>
      <c r="T81" s="99" t="s">
        <v>662</v>
      </c>
      <c r="FR81"/>
    </row>
    <row r="82" spans="1:174" ht="31.5" x14ac:dyDescent="0.2">
      <c r="A82" s="83" t="s">
        <v>280</v>
      </c>
      <c r="B82" s="17" t="s">
        <v>336</v>
      </c>
      <c r="C82" s="13"/>
      <c r="D82" s="18"/>
      <c r="E82" s="51"/>
      <c r="F82" s="31">
        <v>11</v>
      </c>
      <c r="G82" s="32" t="s">
        <v>390</v>
      </c>
      <c r="H82" s="68"/>
      <c r="I82" s="68"/>
      <c r="J82" s="69">
        <f t="shared" si="2"/>
        <v>0</v>
      </c>
      <c r="K82" s="105" t="s">
        <v>650</v>
      </c>
      <c r="L82" s="105" t="s">
        <v>1196</v>
      </c>
      <c r="M82" s="105"/>
      <c r="N82" s="104" t="s">
        <v>663</v>
      </c>
      <c r="O82" s="106" t="s">
        <v>664</v>
      </c>
      <c r="P82" s="104" t="s">
        <v>665</v>
      </c>
      <c r="Q82" s="104" t="s">
        <v>1148</v>
      </c>
      <c r="R82" s="106" t="s">
        <v>666</v>
      </c>
      <c r="S82" s="108" t="s">
        <v>667</v>
      </c>
      <c r="T82" s="99" t="s">
        <v>662</v>
      </c>
      <c r="FR82"/>
    </row>
    <row r="83" spans="1:174" ht="31.5" x14ac:dyDescent="0.2">
      <c r="A83" s="83" t="s">
        <v>281</v>
      </c>
      <c r="B83" s="17" t="s">
        <v>391</v>
      </c>
      <c r="C83" s="13"/>
      <c r="D83" s="18"/>
      <c r="E83" s="51"/>
      <c r="F83" s="31">
        <v>12</v>
      </c>
      <c r="G83" s="32" t="s">
        <v>392</v>
      </c>
      <c r="H83" s="68"/>
      <c r="I83" s="68"/>
      <c r="J83" s="69">
        <f t="shared" si="2"/>
        <v>0</v>
      </c>
      <c r="K83" s="105" t="s">
        <v>650</v>
      </c>
      <c r="L83" s="105" t="s">
        <v>1196</v>
      </c>
      <c r="M83" s="105"/>
      <c r="N83" s="104" t="s">
        <v>663</v>
      </c>
      <c r="O83" s="106" t="s">
        <v>664</v>
      </c>
      <c r="P83" s="104" t="s">
        <v>665</v>
      </c>
      <c r="Q83" s="104" t="s">
        <v>1148</v>
      </c>
      <c r="R83" s="106" t="s">
        <v>666</v>
      </c>
      <c r="S83" s="108" t="s">
        <v>667</v>
      </c>
      <c r="T83" s="99" t="s">
        <v>662</v>
      </c>
      <c r="FR83"/>
    </row>
    <row r="84" spans="1:174" ht="42.75" x14ac:dyDescent="0.2">
      <c r="A84" s="83" t="s">
        <v>276</v>
      </c>
      <c r="B84" s="17" t="s">
        <v>1067</v>
      </c>
      <c r="C84" s="13"/>
      <c r="D84" s="18"/>
      <c r="E84" s="51"/>
      <c r="F84" s="31">
        <v>10</v>
      </c>
      <c r="G84" s="32" t="s">
        <v>393</v>
      </c>
      <c r="H84" s="68"/>
      <c r="I84" s="68"/>
      <c r="J84" s="69">
        <f t="shared" si="2"/>
        <v>0</v>
      </c>
      <c r="K84" s="105" t="s">
        <v>650</v>
      </c>
      <c r="L84" s="107" t="s">
        <v>1192</v>
      </c>
      <c r="M84" s="105"/>
      <c r="N84" s="104" t="s">
        <v>663</v>
      </c>
      <c r="O84" s="106" t="s">
        <v>664</v>
      </c>
      <c r="P84" s="104" t="s">
        <v>665</v>
      </c>
      <c r="Q84" s="104" t="s">
        <v>1148</v>
      </c>
      <c r="R84" s="106" t="s">
        <v>666</v>
      </c>
      <c r="S84" s="108" t="s">
        <v>667</v>
      </c>
      <c r="T84" s="99" t="s">
        <v>668</v>
      </c>
      <c r="FR84"/>
    </row>
    <row r="85" spans="1:174" ht="78.75" x14ac:dyDescent="0.2">
      <c r="A85" s="83" t="s">
        <v>275</v>
      </c>
      <c r="B85" s="17" t="s">
        <v>394</v>
      </c>
      <c r="C85" s="13"/>
      <c r="D85" s="18"/>
      <c r="E85" s="84" t="str">
        <f>IF(C85="","",IF(C85="Yes","Describe your secure product development program.","Describe your plans for applying security controls and secure coding techniques."))</f>
        <v/>
      </c>
      <c r="F85" s="31">
        <v>47</v>
      </c>
      <c r="G85" s="32" t="s">
        <v>395</v>
      </c>
      <c r="H85" s="68"/>
      <c r="I85" s="68"/>
      <c r="J85" s="69">
        <f t="shared" si="2"/>
        <v>0</v>
      </c>
      <c r="K85" s="105"/>
      <c r="L85" s="105"/>
      <c r="M85" s="105"/>
      <c r="N85" s="104" t="s">
        <v>669</v>
      </c>
      <c r="O85" s="104" t="s">
        <v>669</v>
      </c>
      <c r="P85" s="104"/>
      <c r="Q85" s="106" t="s">
        <v>1194</v>
      </c>
      <c r="R85" s="106" t="s">
        <v>670</v>
      </c>
      <c r="S85" s="108" t="s">
        <v>671</v>
      </c>
      <c r="T85" s="99" t="s">
        <v>672</v>
      </c>
      <c r="FR85"/>
    </row>
    <row r="86" spans="1:174" ht="78.75" x14ac:dyDescent="0.2">
      <c r="A86" s="83" t="s">
        <v>342</v>
      </c>
      <c r="B86" s="17" t="s">
        <v>333</v>
      </c>
      <c r="C86" s="116"/>
      <c r="D86" s="18"/>
      <c r="E86" s="51" t="str">
        <f>IF(C86="","",IF(C86="Yes","Summarize your securing coding training and state how frequently employees are required to undergo this training.","State plans to make secure coding training mandatory for all developers."))</f>
        <v/>
      </c>
      <c r="F86" s="31"/>
      <c r="G86" s="32" t="s">
        <v>396</v>
      </c>
      <c r="H86" s="68"/>
      <c r="I86" s="68"/>
      <c r="J86" s="69">
        <f t="shared" si="2"/>
        <v>0</v>
      </c>
      <c r="K86" s="105"/>
      <c r="L86" s="105"/>
      <c r="M86" s="105"/>
      <c r="N86" s="104" t="s">
        <v>673</v>
      </c>
      <c r="O86" s="104" t="s">
        <v>673</v>
      </c>
      <c r="P86" s="104" t="s">
        <v>674</v>
      </c>
      <c r="Q86" s="106" t="s">
        <v>1197</v>
      </c>
      <c r="R86" s="106" t="s">
        <v>675</v>
      </c>
      <c r="S86" s="100" t="s">
        <v>676</v>
      </c>
      <c r="T86" s="99" t="s">
        <v>677</v>
      </c>
      <c r="FR86"/>
    </row>
    <row r="87" spans="1:174" ht="71.25" x14ac:dyDescent="0.2">
      <c r="A87" s="83" t="s">
        <v>343</v>
      </c>
      <c r="B87" s="17" t="s">
        <v>483</v>
      </c>
      <c r="C87" s="116"/>
      <c r="D87" s="18"/>
      <c r="E87" s="51"/>
      <c r="F87" s="31"/>
      <c r="G87" s="32" t="s">
        <v>387</v>
      </c>
      <c r="H87" s="68"/>
      <c r="I87" s="68"/>
      <c r="J87" s="69">
        <f t="shared" si="2"/>
        <v>0</v>
      </c>
      <c r="K87" s="105"/>
      <c r="L87" s="105"/>
      <c r="M87" s="105"/>
      <c r="N87" s="104" t="s">
        <v>651</v>
      </c>
      <c r="O87" s="104" t="s">
        <v>651</v>
      </c>
      <c r="P87" s="104" t="s">
        <v>652</v>
      </c>
      <c r="Q87" s="106" t="s">
        <v>1193</v>
      </c>
      <c r="R87" s="106" t="s">
        <v>748</v>
      </c>
      <c r="S87" s="100" t="s">
        <v>653</v>
      </c>
      <c r="T87" s="99" t="s">
        <v>654</v>
      </c>
      <c r="FR87"/>
    </row>
    <row r="88" spans="1:174" ht="42.75" x14ac:dyDescent="0.2">
      <c r="A88" s="83" t="s">
        <v>344</v>
      </c>
      <c r="B88" s="17" t="s">
        <v>1068</v>
      </c>
      <c r="C88" s="114"/>
      <c r="D88" s="12"/>
      <c r="E88" s="51"/>
      <c r="F88" s="31"/>
      <c r="G88" s="32"/>
      <c r="H88" s="68"/>
      <c r="I88" s="68"/>
      <c r="J88" s="69">
        <f t="shared" si="2"/>
        <v>0</v>
      </c>
      <c r="K88" s="105"/>
      <c r="L88" s="105" t="s">
        <v>1188</v>
      </c>
      <c r="M88" s="105"/>
      <c r="N88" s="104"/>
      <c r="O88" s="104"/>
      <c r="P88" s="104"/>
      <c r="Q88" s="104"/>
      <c r="R88" s="104"/>
      <c r="S88" s="100"/>
      <c r="T88" s="99"/>
      <c r="FR88"/>
    </row>
    <row r="89" spans="1:174" ht="31.5" x14ac:dyDescent="0.2">
      <c r="A89" s="83" t="s">
        <v>397</v>
      </c>
      <c r="B89" s="17" t="s">
        <v>550</v>
      </c>
      <c r="C89" s="113"/>
      <c r="D89" s="12"/>
      <c r="E89" s="51" t="str">
        <f>IF(C89="","",IF(C89="Yes","Summarize the required agreements and reviewed policies.","Summarize why new employees are not required to accept agreements or review policy, as well as any practices that are conducted with new employees."))</f>
        <v/>
      </c>
      <c r="F89" s="31"/>
      <c r="G89" s="32"/>
      <c r="H89" s="68"/>
      <c r="I89" s="68"/>
      <c r="J89" s="69">
        <f t="shared" si="2"/>
        <v>0</v>
      </c>
      <c r="K89" s="105"/>
      <c r="L89" s="105"/>
      <c r="M89" s="105"/>
      <c r="N89" s="104" t="s">
        <v>678</v>
      </c>
      <c r="O89" s="104" t="s">
        <v>678</v>
      </c>
      <c r="P89" s="104"/>
      <c r="Q89" s="104"/>
      <c r="R89" s="104" t="s">
        <v>679</v>
      </c>
      <c r="S89" s="108" t="s">
        <v>680</v>
      </c>
      <c r="T89" s="99" t="s">
        <v>681</v>
      </c>
      <c r="FR89"/>
    </row>
    <row r="90" spans="1:174" ht="31.5" x14ac:dyDescent="0.2">
      <c r="A90" s="83" t="s">
        <v>398</v>
      </c>
      <c r="B90" s="17" t="s">
        <v>551</v>
      </c>
      <c r="C90" s="113"/>
      <c r="D90" s="12"/>
      <c r="E90" s="51" t="str">
        <f>IF(C90="","",IF(C90="Yes","Summarize your security awareness and privacy training content and state how frequently employees are required to undergo security awareness training.","State plans to make security awareness training mandatory for all employees."))</f>
        <v/>
      </c>
      <c r="F90" s="31"/>
      <c r="G90" s="32"/>
      <c r="H90" s="68"/>
      <c r="I90" s="68"/>
      <c r="J90" s="69">
        <f t="shared" si="2"/>
        <v>0</v>
      </c>
      <c r="K90" s="105"/>
      <c r="L90" s="105"/>
      <c r="M90" s="105"/>
      <c r="N90" s="104" t="s">
        <v>682</v>
      </c>
      <c r="O90" s="104" t="s">
        <v>682</v>
      </c>
      <c r="P90" s="104" t="s">
        <v>683</v>
      </c>
      <c r="Q90" s="104" t="s">
        <v>1045</v>
      </c>
      <c r="R90" s="106" t="s">
        <v>684</v>
      </c>
      <c r="S90" s="100" t="s">
        <v>676</v>
      </c>
      <c r="T90" s="99" t="s">
        <v>685</v>
      </c>
      <c r="FR90"/>
    </row>
    <row r="91" spans="1:174" ht="108" x14ac:dyDescent="0.2">
      <c r="A91" s="151" t="s">
        <v>139</v>
      </c>
      <c r="B91" s="151"/>
      <c r="C91" s="122" t="str">
        <f>"Response for " &amp; C45</f>
        <v>Response for Supplier Systems</v>
      </c>
      <c r="D91" s="2" t="s">
        <v>17</v>
      </c>
      <c r="E91" s="2" t="s">
        <v>18</v>
      </c>
      <c r="F91" s="2" t="s">
        <v>338</v>
      </c>
      <c r="G91" s="2" t="s">
        <v>364</v>
      </c>
      <c r="H91" s="142" t="s">
        <v>564</v>
      </c>
      <c r="I91" s="143"/>
      <c r="J91" s="70">
        <f>SUM(J92:J120)</f>
        <v>0</v>
      </c>
      <c r="K91" s="86" t="s">
        <v>600</v>
      </c>
      <c r="L91" s="86" t="s">
        <v>601</v>
      </c>
      <c r="M91" s="86" t="s">
        <v>602</v>
      </c>
      <c r="N91" s="87" t="s">
        <v>603</v>
      </c>
      <c r="O91" s="87" t="s">
        <v>604</v>
      </c>
      <c r="P91" s="87" t="s">
        <v>605</v>
      </c>
      <c r="Q91" s="88" t="s">
        <v>1110</v>
      </c>
      <c r="R91" s="89" t="s">
        <v>608</v>
      </c>
      <c r="S91" s="87" t="s">
        <v>611</v>
      </c>
      <c r="T91" s="87" t="s">
        <v>615</v>
      </c>
      <c r="FR91"/>
    </row>
    <row r="92" spans="1:174" s="1" customFormat="1" ht="18" x14ac:dyDescent="0.2">
      <c r="A92" s="83" t="s">
        <v>159</v>
      </c>
      <c r="B92" s="3" t="s">
        <v>125</v>
      </c>
      <c r="C92" s="46"/>
      <c r="D92" s="29"/>
      <c r="E92" s="51"/>
      <c r="F92" s="31"/>
      <c r="G92" s="32"/>
      <c r="H92" s="68"/>
      <c r="I92" s="71"/>
      <c r="J92" s="69">
        <f t="shared" si="2"/>
        <v>0</v>
      </c>
      <c r="K92" s="105"/>
      <c r="L92" s="105"/>
      <c r="M92" s="105"/>
      <c r="N92" s="104"/>
      <c r="O92" s="104"/>
      <c r="P92" s="104"/>
      <c r="Q92" s="104"/>
      <c r="R92" s="104"/>
      <c r="S92" s="100"/>
      <c r="T92" s="99"/>
    </row>
    <row r="93" spans="1:174" s="1" customFormat="1" ht="94.5" x14ac:dyDescent="0.2">
      <c r="A93" s="83" t="s">
        <v>160</v>
      </c>
      <c r="B93" s="3" t="s">
        <v>484</v>
      </c>
      <c r="C93" s="13"/>
      <c r="D93" s="29"/>
      <c r="E93" s="51" t="str">
        <f>IF(C93="","",IF(C93="Yes","Please provide a high-level description of the major components of this program.","Describe plans to implement such an identity and access management program."))</f>
        <v/>
      </c>
      <c r="F93" s="31">
        <v>1</v>
      </c>
      <c r="G93" s="32" t="s">
        <v>399</v>
      </c>
      <c r="H93" s="68"/>
      <c r="I93" s="71"/>
      <c r="J93" s="69">
        <f t="shared" si="2"/>
        <v>0</v>
      </c>
      <c r="K93" s="105"/>
      <c r="L93" s="105"/>
      <c r="M93" s="105"/>
      <c r="N93" s="106" t="s">
        <v>687</v>
      </c>
      <c r="O93" s="106" t="s">
        <v>687</v>
      </c>
      <c r="P93" s="106" t="s">
        <v>659</v>
      </c>
      <c r="Q93" s="106" t="s">
        <v>1186</v>
      </c>
      <c r="R93" s="106" t="s">
        <v>688</v>
      </c>
      <c r="S93" s="108" t="s">
        <v>689</v>
      </c>
      <c r="T93" s="99" t="s">
        <v>690</v>
      </c>
    </row>
    <row r="94" spans="1:174" s="1" customFormat="1" ht="63" x14ac:dyDescent="0.2">
      <c r="A94" s="83" t="s">
        <v>161</v>
      </c>
      <c r="B94" s="3" t="s">
        <v>485</v>
      </c>
      <c r="C94" s="13"/>
      <c r="D94" s="12"/>
      <c r="E94" s="51" t="str">
        <f>IF(C94="","",IF(C94="Yes","List all supported multi-factor authentication methods, technologies, and/or products and provide a brief summary of each. Describe when users would receive the two-factor prompt (e.g. every login, remote access, administrator access, etc.).","Describe any plans to support multi-factor authentication in your application."))</f>
        <v/>
      </c>
      <c r="F94" s="31">
        <v>1.1000000000000001</v>
      </c>
      <c r="G94" s="32"/>
      <c r="H94" s="68"/>
      <c r="I94" s="71"/>
      <c r="J94" s="69">
        <f t="shared" si="2"/>
        <v>0</v>
      </c>
      <c r="K94" s="105"/>
      <c r="L94" s="105" t="s">
        <v>1181</v>
      </c>
      <c r="M94" s="105" t="s">
        <v>1136</v>
      </c>
      <c r="N94" s="104" t="s">
        <v>691</v>
      </c>
      <c r="O94" s="104" t="s">
        <v>691</v>
      </c>
      <c r="P94" s="106" t="s">
        <v>692</v>
      </c>
      <c r="Q94" s="104" t="s">
        <v>1156</v>
      </c>
      <c r="R94" s="106" t="s">
        <v>693</v>
      </c>
      <c r="S94" s="100" t="s">
        <v>694</v>
      </c>
      <c r="T94" s="99"/>
    </row>
    <row r="95" spans="1:174" s="1" customFormat="1" ht="31.5" x14ac:dyDescent="0.2">
      <c r="A95" s="83" t="s">
        <v>162</v>
      </c>
      <c r="B95" s="17" t="s">
        <v>255</v>
      </c>
      <c r="C95" s="13"/>
      <c r="D95" s="20"/>
      <c r="E95" s="50" t="str">
        <f>IF(C95="","",IF(C95="Yes","Please describe the approval process.","Please describe how access is granted and managed."))</f>
        <v/>
      </c>
      <c r="F95" s="31">
        <v>5</v>
      </c>
      <c r="G95" s="32" t="s">
        <v>400</v>
      </c>
      <c r="H95" s="68"/>
      <c r="I95" s="71"/>
      <c r="J95" s="69">
        <f t="shared" si="2"/>
        <v>0</v>
      </c>
      <c r="K95" s="105"/>
      <c r="L95" s="105" t="s">
        <v>1166</v>
      </c>
      <c r="M95" s="107" t="s">
        <v>1187</v>
      </c>
      <c r="N95" s="106" t="s">
        <v>695</v>
      </c>
      <c r="O95" s="106" t="s">
        <v>695</v>
      </c>
      <c r="P95" s="106" t="s">
        <v>659</v>
      </c>
      <c r="Q95" s="106" t="s">
        <v>1185</v>
      </c>
      <c r="R95" s="106" t="s">
        <v>696</v>
      </c>
      <c r="S95" s="108" t="s">
        <v>697</v>
      </c>
      <c r="T95" s="99" t="s">
        <v>668</v>
      </c>
    </row>
    <row r="96" spans="1:174" s="1" customFormat="1" ht="47.25" x14ac:dyDescent="0.2">
      <c r="A96" s="83" t="s">
        <v>163</v>
      </c>
      <c r="B96" s="17" t="s">
        <v>552</v>
      </c>
      <c r="C96" s="13"/>
      <c r="D96" s="20"/>
      <c r="E96" s="50"/>
      <c r="F96" s="32">
        <v>6</v>
      </c>
      <c r="G96" s="32" t="s">
        <v>401</v>
      </c>
      <c r="H96" s="68"/>
      <c r="I96" s="71"/>
      <c r="J96" s="69">
        <f t="shared" si="2"/>
        <v>0</v>
      </c>
      <c r="K96" s="105"/>
      <c r="L96" s="105" t="s">
        <v>1188</v>
      </c>
      <c r="M96" s="105"/>
      <c r="N96" s="104" t="s">
        <v>698</v>
      </c>
      <c r="O96" s="104" t="s">
        <v>698</v>
      </c>
      <c r="P96" s="106" t="s">
        <v>699</v>
      </c>
      <c r="Q96" s="106" t="s">
        <v>1184</v>
      </c>
      <c r="R96" s="106" t="s">
        <v>700</v>
      </c>
      <c r="S96" s="100" t="s">
        <v>661</v>
      </c>
      <c r="T96" s="99" t="s">
        <v>668</v>
      </c>
    </row>
    <row r="97" spans="1:174" s="1" customFormat="1" ht="47.25" x14ac:dyDescent="0.2">
      <c r="A97" s="83" t="s">
        <v>345</v>
      </c>
      <c r="B97" s="17" t="s">
        <v>1069</v>
      </c>
      <c r="C97" s="13"/>
      <c r="D97" s="20"/>
      <c r="E97" s="50"/>
      <c r="F97" s="32">
        <v>8</v>
      </c>
      <c r="G97" s="32" t="s">
        <v>402</v>
      </c>
      <c r="H97" s="68"/>
      <c r="I97" s="71"/>
      <c r="J97" s="69">
        <f t="shared" si="2"/>
        <v>0</v>
      </c>
      <c r="K97" s="105" t="s">
        <v>650</v>
      </c>
      <c r="L97" s="105" t="s">
        <v>1166</v>
      </c>
      <c r="M97" s="107" t="s">
        <v>1187</v>
      </c>
      <c r="N97" s="104" t="s">
        <v>698</v>
      </c>
      <c r="O97" s="104" t="s">
        <v>698</v>
      </c>
      <c r="P97" s="106" t="s">
        <v>699</v>
      </c>
      <c r="Q97" s="106" t="s">
        <v>1184</v>
      </c>
      <c r="R97" s="106" t="s">
        <v>700</v>
      </c>
      <c r="S97" s="100" t="s">
        <v>661</v>
      </c>
      <c r="T97" s="99" t="s">
        <v>668</v>
      </c>
    </row>
    <row r="98" spans="1:174" s="1" customFormat="1" ht="42.75" x14ac:dyDescent="0.2">
      <c r="A98" s="83" t="s">
        <v>164</v>
      </c>
      <c r="B98" s="17" t="s">
        <v>340</v>
      </c>
      <c r="C98" s="13"/>
      <c r="D98" s="20"/>
      <c r="E98" s="50" t="str">
        <f>IF(C98="","",IF(C98="Yes","","If not reviewed annually, please provide frequency. If not reviewed, please state plans to implement periodic access reviews."))</f>
        <v/>
      </c>
      <c r="F98" s="32">
        <v>7</v>
      </c>
      <c r="G98" s="32" t="s">
        <v>403</v>
      </c>
      <c r="H98" s="68"/>
      <c r="I98" s="71"/>
      <c r="J98" s="69">
        <f t="shared" si="2"/>
        <v>0</v>
      </c>
      <c r="K98" s="105"/>
      <c r="L98" s="105"/>
      <c r="M98" s="105"/>
      <c r="N98" s="104" t="s">
        <v>698</v>
      </c>
      <c r="O98" s="104" t="s">
        <v>698</v>
      </c>
      <c r="P98" s="106" t="s">
        <v>659</v>
      </c>
      <c r="Q98" s="104" t="s">
        <v>1148</v>
      </c>
      <c r="R98" s="106" t="s">
        <v>701</v>
      </c>
      <c r="S98" s="100" t="s">
        <v>661</v>
      </c>
      <c r="T98" s="109" t="s">
        <v>702</v>
      </c>
    </row>
    <row r="99" spans="1:174" s="1" customFormat="1" ht="31.5" x14ac:dyDescent="0.2">
      <c r="A99" s="83" t="s">
        <v>165</v>
      </c>
      <c r="B99" s="17" t="s">
        <v>1070</v>
      </c>
      <c r="C99" s="13"/>
      <c r="D99" s="20"/>
      <c r="E99" s="50" t="str">
        <f>IF(C99="","",IF(C99="Yes","","If not reviewed annually, please provide frequency. If not reviewed, please state plans to implement periodic access reviews."))</f>
        <v/>
      </c>
      <c r="F99" s="31">
        <v>9</v>
      </c>
      <c r="G99" s="32" t="s">
        <v>404</v>
      </c>
      <c r="H99" s="68"/>
      <c r="I99" s="71"/>
      <c r="J99" s="69">
        <f t="shared" si="2"/>
        <v>0</v>
      </c>
      <c r="K99" s="105"/>
      <c r="L99" s="105"/>
      <c r="M99" s="105"/>
      <c r="N99" s="104" t="s">
        <v>698</v>
      </c>
      <c r="O99" s="104" t="s">
        <v>698</v>
      </c>
      <c r="P99" s="106" t="s">
        <v>659</v>
      </c>
      <c r="Q99" s="104" t="s">
        <v>1148</v>
      </c>
      <c r="R99" s="106" t="s">
        <v>701</v>
      </c>
      <c r="S99" s="100" t="s">
        <v>661</v>
      </c>
      <c r="T99" s="109" t="s">
        <v>702</v>
      </c>
    </row>
    <row r="100" spans="1:174" s="1" customFormat="1" ht="31.5" x14ac:dyDescent="0.2">
      <c r="A100" s="83" t="s">
        <v>166</v>
      </c>
      <c r="B100" s="17" t="s">
        <v>99</v>
      </c>
      <c r="C100" s="13"/>
      <c r="D100" s="21"/>
      <c r="E100" s="50" t="str">
        <f>IF(C100="","",IF(C100="Yes","Submit documentation and/or web resources as to how remote access is provided, including security controls on the access (i.e., is multifactor authentication used?).","Provide details that prevent this capability."))</f>
        <v/>
      </c>
      <c r="F100" s="31"/>
      <c r="G100" s="32"/>
      <c r="H100" s="68"/>
      <c r="I100" s="71"/>
      <c r="J100" s="69">
        <f t="shared" si="2"/>
        <v>0</v>
      </c>
      <c r="K100" s="105"/>
      <c r="L100" s="105" t="s">
        <v>1189</v>
      </c>
      <c r="M100" s="105"/>
      <c r="N100" s="104" t="s">
        <v>703</v>
      </c>
      <c r="O100" s="104" t="s">
        <v>704</v>
      </c>
      <c r="P100" s="104" t="s">
        <v>705</v>
      </c>
      <c r="Q100" s="104" t="s">
        <v>1148</v>
      </c>
      <c r="R100" s="106" t="s">
        <v>706</v>
      </c>
      <c r="S100" s="100" t="s">
        <v>707</v>
      </c>
      <c r="T100" s="99" t="s">
        <v>690</v>
      </c>
    </row>
    <row r="101" spans="1:174" s="1" customFormat="1" ht="63" x14ac:dyDescent="0.2">
      <c r="A101" s="83" t="s">
        <v>167</v>
      </c>
      <c r="B101" s="17" t="s">
        <v>1071</v>
      </c>
      <c r="C101" s="13"/>
      <c r="D101" s="21"/>
      <c r="E101" s="50"/>
      <c r="F101" s="31">
        <v>14</v>
      </c>
      <c r="G101" s="32" t="s">
        <v>405</v>
      </c>
      <c r="H101" s="68"/>
      <c r="I101" s="71"/>
      <c r="J101" s="69">
        <f t="shared" si="2"/>
        <v>0</v>
      </c>
      <c r="K101" s="105"/>
      <c r="L101" s="107" t="s">
        <v>1151</v>
      </c>
      <c r="M101" s="105"/>
      <c r="N101" s="104" t="s">
        <v>703</v>
      </c>
      <c r="O101" s="104" t="s">
        <v>704</v>
      </c>
      <c r="P101" s="106" t="s">
        <v>1032</v>
      </c>
      <c r="Q101" s="106" t="s">
        <v>1190</v>
      </c>
      <c r="R101" s="106" t="s">
        <v>708</v>
      </c>
      <c r="S101" s="100" t="s">
        <v>707</v>
      </c>
      <c r="T101" s="99" t="s">
        <v>668</v>
      </c>
    </row>
    <row r="102" spans="1:174" s="1" customFormat="1" ht="63" x14ac:dyDescent="0.2">
      <c r="A102" s="83" t="s">
        <v>168</v>
      </c>
      <c r="B102" s="17" t="s">
        <v>1072</v>
      </c>
      <c r="C102" s="13"/>
      <c r="D102" s="20"/>
      <c r="E102" s="51" t="str">
        <f>IF(C102="","",IF(C102="Yes","Please describe the reason for remote access as well as the process for achieving it.","Please describe in sufficient detail."))</f>
        <v/>
      </c>
      <c r="F102" s="31">
        <v>15</v>
      </c>
      <c r="G102" s="32" t="s">
        <v>406</v>
      </c>
      <c r="H102" s="68"/>
      <c r="I102" s="71"/>
      <c r="J102" s="69">
        <f t="shared" si="2"/>
        <v>0</v>
      </c>
      <c r="K102" s="105" t="s">
        <v>686</v>
      </c>
      <c r="L102" s="107" t="s">
        <v>1191</v>
      </c>
      <c r="M102" s="105"/>
      <c r="N102" s="104" t="s">
        <v>703</v>
      </c>
      <c r="O102" s="104" t="s">
        <v>704</v>
      </c>
      <c r="P102" s="104" t="s">
        <v>705</v>
      </c>
      <c r="Q102" s="106" t="s">
        <v>1183</v>
      </c>
      <c r="R102" s="106" t="s">
        <v>708</v>
      </c>
      <c r="S102" s="100" t="s">
        <v>707</v>
      </c>
      <c r="T102" s="99" t="s">
        <v>690</v>
      </c>
    </row>
    <row r="103" spans="1:174" s="1" customFormat="1" ht="63" x14ac:dyDescent="0.2">
      <c r="A103" s="83" t="s">
        <v>169</v>
      </c>
      <c r="B103" s="17" t="s">
        <v>1073</v>
      </c>
      <c r="C103" s="13"/>
      <c r="D103" s="20"/>
      <c r="E103" s="51" t="str">
        <f>IF(C103="","",IF(C103="Yes","Please describe how remote access sessions are ended.",""))</f>
        <v/>
      </c>
      <c r="F103" s="31">
        <v>17</v>
      </c>
      <c r="G103" s="32" t="s">
        <v>407</v>
      </c>
      <c r="H103" s="68"/>
      <c r="I103" s="71"/>
      <c r="J103" s="69">
        <f t="shared" si="2"/>
        <v>0</v>
      </c>
      <c r="K103" s="105"/>
      <c r="L103" s="107" t="s">
        <v>1192</v>
      </c>
      <c r="M103" s="105"/>
      <c r="N103" s="104" t="s">
        <v>703</v>
      </c>
      <c r="O103" s="106" t="s">
        <v>709</v>
      </c>
      <c r="P103" s="106" t="s">
        <v>710</v>
      </c>
      <c r="Q103" s="106" t="s">
        <v>1182</v>
      </c>
      <c r="R103" s="106" t="s">
        <v>711</v>
      </c>
      <c r="S103" s="100" t="s">
        <v>707</v>
      </c>
      <c r="T103" s="99"/>
    </row>
    <row r="104" spans="1:174" s="1" customFormat="1" ht="31.5" x14ac:dyDescent="0.2">
      <c r="A104" s="83" t="s">
        <v>170</v>
      </c>
      <c r="B104" s="17" t="s">
        <v>1074</v>
      </c>
      <c r="C104" s="13"/>
      <c r="D104" s="20"/>
      <c r="E104" s="51" t="str">
        <f>IF(C104="","",IF(C104="Yes","Please describe how this is accomplished.",""))</f>
        <v/>
      </c>
      <c r="F104" s="31">
        <v>19</v>
      </c>
      <c r="G104" s="32" t="s">
        <v>408</v>
      </c>
      <c r="H104" s="68"/>
      <c r="I104" s="71"/>
      <c r="J104" s="69">
        <f t="shared" si="2"/>
        <v>0</v>
      </c>
      <c r="K104" s="105"/>
      <c r="L104" s="105"/>
      <c r="M104" s="105"/>
      <c r="N104" s="106" t="s">
        <v>712</v>
      </c>
      <c r="O104" s="106" t="s">
        <v>712</v>
      </c>
      <c r="P104" s="106" t="s">
        <v>713</v>
      </c>
      <c r="Q104" s="106" t="s">
        <v>1180</v>
      </c>
      <c r="R104" s="106" t="s">
        <v>714</v>
      </c>
      <c r="S104" s="100" t="s">
        <v>715</v>
      </c>
      <c r="T104" s="99" t="s">
        <v>716</v>
      </c>
    </row>
    <row r="105" spans="1:174" ht="63" x14ac:dyDescent="0.2">
      <c r="A105" s="83" t="s">
        <v>171</v>
      </c>
      <c r="B105" s="17" t="s">
        <v>137</v>
      </c>
      <c r="C105" s="13"/>
      <c r="D105" s="18"/>
      <c r="E105" s="51" t="str">
        <f>IF(C105="","",IF(C105="Yes","Describe how aging requirements are implemented, including expiration timeframes.","Describe plans to support password/passphrase aging requirements."))</f>
        <v/>
      </c>
      <c r="F105" s="31"/>
      <c r="G105" s="32"/>
      <c r="H105" s="68"/>
      <c r="I105" s="71"/>
      <c r="J105" s="69">
        <f t="shared" si="2"/>
        <v>0</v>
      </c>
      <c r="K105" s="105"/>
      <c r="L105" s="105"/>
      <c r="M105" s="105"/>
      <c r="N105" s="104"/>
      <c r="O105" s="104" t="s">
        <v>717</v>
      </c>
      <c r="P105" s="104" t="s">
        <v>718</v>
      </c>
      <c r="Q105" s="104" t="s">
        <v>1156</v>
      </c>
      <c r="R105" s="106" t="s">
        <v>719</v>
      </c>
      <c r="S105" s="100" t="s">
        <v>694</v>
      </c>
      <c r="T105" s="99" t="s">
        <v>690</v>
      </c>
      <c r="FR105"/>
    </row>
    <row r="106" spans="1:174" s="1" customFormat="1" ht="63" x14ac:dyDescent="0.2">
      <c r="A106" s="83" t="s">
        <v>172</v>
      </c>
      <c r="B106" s="17" t="s">
        <v>133</v>
      </c>
      <c r="C106" s="13"/>
      <c r="D106" s="18"/>
      <c r="E106" s="51"/>
      <c r="F106" s="31"/>
      <c r="G106" s="32"/>
      <c r="H106" s="68"/>
      <c r="I106" s="71"/>
      <c r="J106" s="69">
        <f t="shared" si="2"/>
        <v>0</v>
      </c>
      <c r="K106" s="105"/>
      <c r="L106" s="105"/>
      <c r="M106" s="105"/>
      <c r="N106" s="104"/>
      <c r="O106" s="104" t="s">
        <v>717</v>
      </c>
      <c r="P106" s="104" t="s">
        <v>720</v>
      </c>
      <c r="Q106" s="104" t="s">
        <v>1156</v>
      </c>
      <c r="R106" s="106" t="s">
        <v>721</v>
      </c>
      <c r="S106" s="100" t="s">
        <v>694</v>
      </c>
      <c r="T106" s="99" t="s">
        <v>690</v>
      </c>
    </row>
    <row r="107" spans="1:174" s="1" customFormat="1" ht="63" x14ac:dyDescent="0.2">
      <c r="A107" s="82" t="s">
        <v>574</v>
      </c>
      <c r="B107" s="17" t="s">
        <v>575</v>
      </c>
      <c r="C107" s="13"/>
      <c r="D107" s="18"/>
      <c r="E107" s="51" t="str">
        <f>IF(C107="","",IF(C107="Yes","Describe your policy for preventing the use of shared accounts and shared credentials.","Describe plans to prevent the use of shared accounts and shared passwords."))</f>
        <v/>
      </c>
      <c r="F107" s="31"/>
      <c r="G107" s="32"/>
      <c r="H107" s="68"/>
      <c r="I107" s="71"/>
      <c r="J107" s="69">
        <f t="shared" si="2"/>
        <v>0</v>
      </c>
      <c r="K107" s="105"/>
      <c r="L107" s="105"/>
      <c r="M107" s="105"/>
      <c r="N107" s="104"/>
      <c r="O107" s="104" t="s">
        <v>698</v>
      </c>
      <c r="P107" s="104" t="s">
        <v>722</v>
      </c>
      <c r="Q107" s="104" t="s">
        <v>1179</v>
      </c>
      <c r="R107" s="106" t="s">
        <v>747</v>
      </c>
      <c r="S107" s="100" t="s">
        <v>723</v>
      </c>
      <c r="T107" s="99"/>
    </row>
    <row r="108" spans="1:174" s="1" customFormat="1" ht="28.5" x14ac:dyDescent="0.2">
      <c r="A108" s="83" t="s">
        <v>173</v>
      </c>
      <c r="B108" s="17" t="s">
        <v>102</v>
      </c>
      <c r="C108" s="13"/>
      <c r="D108" s="22"/>
      <c r="E108" s="51" t="str">
        <f>IF(C108="","",IF(C108="Yes","Describe your documented password/passphrase reset procedures that are currently implemented in the system and/or customer support.","Describe your plans to document system password/passphrase reset procedures."))</f>
        <v/>
      </c>
      <c r="F108" s="31"/>
      <c r="G108" s="32"/>
      <c r="H108" s="68"/>
      <c r="I108" s="71"/>
      <c r="J108" s="69">
        <f t="shared" si="2"/>
        <v>0</v>
      </c>
      <c r="K108" s="105"/>
      <c r="L108" s="105"/>
      <c r="M108" s="105"/>
      <c r="N108" s="104"/>
      <c r="O108" s="104" t="s">
        <v>717</v>
      </c>
      <c r="P108" s="104"/>
      <c r="Q108" s="104"/>
      <c r="R108" s="104"/>
      <c r="S108" s="100"/>
      <c r="T108" s="99" t="s">
        <v>690</v>
      </c>
    </row>
    <row r="109" spans="1:174" s="1" customFormat="1" ht="18" x14ac:dyDescent="0.2">
      <c r="A109" s="83" t="s">
        <v>174</v>
      </c>
      <c r="B109" s="17" t="s">
        <v>103</v>
      </c>
      <c r="C109" s="13"/>
      <c r="D109" s="18"/>
      <c r="E109" s="51" t="str">
        <f>IF(C109="","",IF(C109="Yes","Provide a detailed description of passwords/passphrases hard-coded into your systems or products.",""))</f>
        <v/>
      </c>
      <c r="F109" s="31"/>
      <c r="G109" s="32"/>
      <c r="H109" s="68"/>
      <c r="I109" s="71"/>
      <c r="J109" s="69">
        <f t="shared" si="2"/>
        <v>0</v>
      </c>
      <c r="K109" s="105"/>
      <c r="L109" s="105"/>
      <c r="M109" s="105"/>
      <c r="N109" s="104"/>
      <c r="O109" s="104"/>
      <c r="P109" s="104"/>
      <c r="Q109" s="104"/>
      <c r="R109" s="104"/>
      <c r="S109" s="100"/>
      <c r="T109" s="99"/>
    </row>
    <row r="110" spans="1:174" s="1" customFormat="1" ht="18" x14ac:dyDescent="0.2">
      <c r="A110" s="83" t="s">
        <v>175</v>
      </c>
      <c r="B110" s="17" t="s">
        <v>104</v>
      </c>
      <c r="C110" s="13"/>
      <c r="D110" s="18"/>
      <c r="E110" s="51" t="str">
        <f>IF(C110="","",IF(C110="Yes","Provide a detailed description stating why user account passwords/passphrases are visible by administrators.",""))</f>
        <v/>
      </c>
      <c r="F110" s="31"/>
      <c r="G110" s="32"/>
      <c r="H110" s="68"/>
      <c r="I110" s="71"/>
      <c r="J110" s="69">
        <f t="shared" si="2"/>
        <v>0</v>
      </c>
      <c r="K110" s="105"/>
      <c r="L110" s="105"/>
      <c r="M110" s="105"/>
      <c r="N110" s="104"/>
      <c r="O110" s="104"/>
      <c r="P110" s="104"/>
      <c r="Q110" s="104"/>
      <c r="R110" s="104"/>
      <c r="S110" s="100"/>
      <c r="T110" s="99"/>
    </row>
    <row r="111" spans="1:174" s="1" customFormat="1" ht="47.25" x14ac:dyDescent="0.2">
      <c r="A111" s="83" t="s">
        <v>254</v>
      </c>
      <c r="B111" s="17" t="s">
        <v>582</v>
      </c>
      <c r="C111" s="13"/>
      <c r="D111" s="18"/>
      <c r="E111" s="51" t="str">
        <f>IF(C111="","",IF(C111="Yes","Describe or provide a reference to the algorithm/strategy that is used to encrypt in transit and at rest passwords/passphrases/credentials.","Provide a detailed description stating why user account passwords/passphrases/credentials are not encrypted in transit and at rest."))</f>
        <v/>
      </c>
      <c r="F111" s="31"/>
      <c r="G111" s="32"/>
      <c r="H111" s="68"/>
      <c r="I111" s="71"/>
      <c r="J111" s="69">
        <f t="shared" si="2"/>
        <v>0</v>
      </c>
      <c r="K111" s="105"/>
      <c r="L111" s="105"/>
      <c r="M111" s="105"/>
      <c r="N111" s="104" t="s">
        <v>724</v>
      </c>
      <c r="O111" s="106" t="s">
        <v>725</v>
      </c>
      <c r="P111" s="104" t="s">
        <v>726</v>
      </c>
      <c r="Q111" s="106" t="s">
        <v>1178</v>
      </c>
      <c r="R111" s="106" t="s">
        <v>727</v>
      </c>
      <c r="S111" s="100" t="s">
        <v>728</v>
      </c>
      <c r="T111" s="109" t="s">
        <v>729</v>
      </c>
    </row>
    <row r="112" spans="1:174" s="1" customFormat="1" ht="99.75" x14ac:dyDescent="0.2">
      <c r="A112" s="83" t="s">
        <v>256</v>
      </c>
      <c r="B112" s="17" t="s">
        <v>469</v>
      </c>
      <c r="C112" s="46"/>
      <c r="D112" s="18"/>
      <c r="E112" s="51" t="s">
        <v>135</v>
      </c>
      <c r="F112" s="31"/>
      <c r="G112" s="32"/>
      <c r="H112" s="68"/>
      <c r="I112" s="71"/>
      <c r="J112" s="69">
        <f t="shared" si="2"/>
        <v>0</v>
      </c>
      <c r="K112" s="105"/>
      <c r="L112" s="105" t="s">
        <v>1181</v>
      </c>
      <c r="M112" s="105" t="s">
        <v>1136</v>
      </c>
      <c r="N112" s="104" t="s">
        <v>691</v>
      </c>
      <c r="O112" s="106" t="s">
        <v>730</v>
      </c>
      <c r="P112" s="106" t="s">
        <v>692</v>
      </c>
      <c r="Q112" s="104" t="s">
        <v>1156</v>
      </c>
      <c r="R112" s="106" t="s">
        <v>731</v>
      </c>
      <c r="S112" s="100"/>
      <c r="T112" s="99"/>
    </row>
    <row r="113" spans="1:20" s="1" customFormat="1" ht="31.5" x14ac:dyDescent="0.2">
      <c r="A113" s="83" t="s">
        <v>258</v>
      </c>
      <c r="B113" s="17" t="s">
        <v>470</v>
      </c>
      <c r="C113" s="46"/>
      <c r="D113" s="18"/>
      <c r="E113" s="51"/>
      <c r="F113" s="31"/>
      <c r="G113" s="32"/>
      <c r="H113" s="68"/>
      <c r="I113" s="71"/>
      <c r="J113" s="69">
        <f t="shared" si="2"/>
        <v>0</v>
      </c>
      <c r="K113" s="105"/>
      <c r="L113" s="105"/>
      <c r="M113" s="105"/>
      <c r="N113" s="104" t="s">
        <v>691</v>
      </c>
      <c r="O113" s="106" t="s">
        <v>730</v>
      </c>
      <c r="P113" s="104"/>
      <c r="Q113" s="104"/>
      <c r="R113" s="104"/>
      <c r="S113" s="100"/>
      <c r="T113" s="99"/>
    </row>
    <row r="114" spans="1:20" s="1" customFormat="1" ht="28.5" x14ac:dyDescent="0.2">
      <c r="A114" s="83" t="s">
        <v>259</v>
      </c>
      <c r="B114" s="17" t="s">
        <v>471</v>
      </c>
      <c r="C114" s="13"/>
      <c r="D114" s="18"/>
      <c r="E114" s="51" t="str">
        <f>IF(C114="","",IF(C114="Yes","Describe all authentication services supported by the system.","Describe any plans to support external authentication services in place of local authentication."))</f>
        <v/>
      </c>
      <c r="F114" s="31"/>
      <c r="G114" s="32"/>
      <c r="H114" s="68"/>
      <c r="I114" s="71"/>
      <c r="J114" s="69">
        <f t="shared" si="2"/>
        <v>0</v>
      </c>
      <c r="K114" s="105"/>
      <c r="L114" s="105"/>
      <c r="M114" s="105"/>
      <c r="N114" s="104"/>
      <c r="O114" s="104"/>
      <c r="P114" s="104"/>
      <c r="Q114" s="104"/>
      <c r="R114" s="104" t="s">
        <v>660</v>
      </c>
      <c r="S114" s="100"/>
      <c r="T114" s="99"/>
    </row>
    <row r="115" spans="1:20" s="1" customFormat="1" ht="47.25" x14ac:dyDescent="0.2">
      <c r="A115" s="83" t="s">
        <v>260</v>
      </c>
      <c r="B115" s="17" t="s">
        <v>251</v>
      </c>
      <c r="C115" s="13"/>
      <c r="D115" s="18"/>
      <c r="E115" s="51" t="str">
        <f>IF(C115="","",IF(C115="Yes","Provide a description of logging capabilities. Ensure that all elements of IAM-24 are evaluated for your response.","Describe any plans to enable audit logs for these data elements."))</f>
        <v/>
      </c>
      <c r="F115" s="31"/>
      <c r="G115" s="32"/>
      <c r="H115" s="68"/>
      <c r="I115" s="71"/>
      <c r="J115" s="69">
        <f t="shared" si="2"/>
        <v>0</v>
      </c>
      <c r="K115" s="105"/>
      <c r="L115" s="105"/>
      <c r="M115" s="105"/>
      <c r="N115" s="106" t="s">
        <v>732</v>
      </c>
      <c r="O115" s="106" t="s">
        <v>733</v>
      </c>
      <c r="P115" s="104" t="s">
        <v>734</v>
      </c>
      <c r="Q115" s="104" t="s">
        <v>1159</v>
      </c>
      <c r="R115" s="104" t="s">
        <v>735</v>
      </c>
      <c r="S115" s="100" t="s">
        <v>736</v>
      </c>
      <c r="T115" s="99" t="s">
        <v>737</v>
      </c>
    </row>
    <row r="116" spans="1:20" s="1" customFormat="1" ht="57" x14ac:dyDescent="0.2">
      <c r="A116" s="83" t="s">
        <v>282</v>
      </c>
      <c r="B116" s="17" t="s">
        <v>486</v>
      </c>
      <c r="C116" s="23"/>
      <c r="D116" s="117"/>
      <c r="E116" s="51" t="s">
        <v>525</v>
      </c>
      <c r="F116" s="31"/>
      <c r="G116" s="32"/>
      <c r="H116" s="68"/>
      <c r="I116" s="71"/>
      <c r="J116" s="69">
        <f t="shared" si="2"/>
        <v>0</v>
      </c>
      <c r="K116" s="105"/>
      <c r="L116" s="105"/>
      <c r="M116" s="105"/>
      <c r="N116" s="104"/>
      <c r="O116" s="104"/>
      <c r="P116" s="104"/>
      <c r="Q116" s="104"/>
      <c r="R116" s="104"/>
      <c r="S116" s="100"/>
      <c r="T116" s="99"/>
    </row>
    <row r="117" spans="1:20" s="1" customFormat="1" ht="63" x14ac:dyDescent="0.2">
      <c r="A117" s="83" t="s">
        <v>283</v>
      </c>
      <c r="B117" s="17" t="s">
        <v>1041</v>
      </c>
      <c r="C117" s="13"/>
      <c r="D117" s="21"/>
      <c r="E117" s="85" t="str">
        <f>IF(C117="","",IF(C117="Yes","Describe how this is accomplished.","Describe any plans to implement role-based access controls for end users/administrators, as well as how access/what levels of access are currently granted to administrators."))</f>
        <v/>
      </c>
      <c r="F117" s="31"/>
      <c r="G117" s="32"/>
      <c r="H117" s="68"/>
      <c r="I117" s="71"/>
      <c r="J117" s="69">
        <f t="shared" si="2"/>
        <v>0</v>
      </c>
      <c r="K117" s="105"/>
      <c r="L117" s="105"/>
      <c r="M117" s="105"/>
      <c r="N117" s="106" t="s">
        <v>657</v>
      </c>
      <c r="O117" s="106" t="s">
        <v>657</v>
      </c>
      <c r="P117" s="106" t="s">
        <v>659</v>
      </c>
      <c r="Q117" s="106" t="s">
        <v>1148</v>
      </c>
      <c r="R117" s="106" t="s">
        <v>738</v>
      </c>
      <c r="S117" s="100" t="s">
        <v>739</v>
      </c>
      <c r="T117" s="99" t="s">
        <v>662</v>
      </c>
    </row>
    <row r="118" spans="1:20" s="1" customFormat="1" ht="63" x14ac:dyDescent="0.2">
      <c r="A118" s="83" t="s">
        <v>313</v>
      </c>
      <c r="B118" s="17" t="s">
        <v>488</v>
      </c>
      <c r="C118" s="46"/>
      <c r="D118" s="21"/>
      <c r="E118" s="50" t="s">
        <v>257</v>
      </c>
      <c r="F118" s="31"/>
      <c r="G118" s="32"/>
      <c r="H118" s="68"/>
      <c r="I118" s="71"/>
      <c r="J118" s="69">
        <f t="shared" si="2"/>
        <v>0</v>
      </c>
      <c r="K118" s="105"/>
      <c r="L118" s="105"/>
      <c r="M118" s="105"/>
      <c r="N118" s="104" t="s">
        <v>740</v>
      </c>
      <c r="O118" s="104" t="s">
        <v>740</v>
      </c>
      <c r="P118" s="104" t="s">
        <v>741</v>
      </c>
      <c r="Q118" s="104" t="s">
        <v>1148</v>
      </c>
      <c r="R118" s="106" t="s">
        <v>742</v>
      </c>
      <c r="S118" s="100" t="s">
        <v>743</v>
      </c>
      <c r="T118" s="99" t="s">
        <v>662</v>
      </c>
    </row>
    <row r="119" spans="1:20" s="1" customFormat="1" ht="63" x14ac:dyDescent="0.2">
      <c r="A119" s="83" t="s">
        <v>346</v>
      </c>
      <c r="B119" s="17" t="s">
        <v>243</v>
      </c>
      <c r="C119" s="13"/>
      <c r="D119" s="21"/>
      <c r="E119" s="52" t="str">
        <f>IF(C119="","",IF(C119="Yes","Describe or attach your policy or process.","Describe how the provisioning and administration of administrative accounts is currently carried out, as well as any plans to implement such a policy or process."))</f>
        <v/>
      </c>
      <c r="F119" s="31"/>
      <c r="G119" s="32"/>
      <c r="H119" s="68"/>
      <c r="I119" s="71"/>
      <c r="J119" s="69">
        <f t="shared" si="2"/>
        <v>0</v>
      </c>
      <c r="K119" s="105"/>
      <c r="L119" s="105"/>
      <c r="M119" s="105"/>
      <c r="N119" s="106" t="s">
        <v>744</v>
      </c>
      <c r="O119" s="106" t="s">
        <v>744</v>
      </c>
      <c r="P119" s="106" t="s">
        <v>659</v>
      </c>
      <c r="Q119" s="106" t="s">
        <v>1148</v>
      </c>
      <c r="R119" s="106" t="s">
        <v>745</v>
      </c>
      <c r="S119" s="100" t="s">
        <v>743</v>
      </c>
      <c r="T119" s="99" t="s">
        <v>662</v>
      </c>
    </row>
    <row r="120" spans="1:20" s="1" customFormat="1" ht="47.25" x14ac:dyDescent="0.2">
      <c r="A120" s="83" t="s">
        <v>410</v>
      </c>
      <c r="B120" s="17" t="s">
        <v>487</v>
      </c>
      <c r="C120" s="13"/>
      <c r="D120" s="21"/>
      <c r="E120" s="51" t="str">
        <f>IF(C120="","",IF(C120="Yes","Provide a brief summary and the review interval.","Describe plans to implement privileged account access-list reviews to your environment."))</f>
        <v/>
      </c>
      <c r="F120" s="31"/>
      <c r="G120" s="32"/>
      <c r="H120" s="68"/>
      <c r="I120" s="71"/>
      <c r="J120" s="69">
        <f t="shared" si="2"/>
        <v>0</v>
      </c>
      <c r="K120" s="105"/>
      <c r="L120" s="105"/>
      <c r="M120" s="105"/>
      <c r="N120" s="104" t="s">
        <v>698</v>
      </c>
      <c r="O120" s="104" t="s">
        <v>698</v>
      </c>
      <c r="P120" s="106" t="s">
        <v>659</v>
      </c>
      <c r="Q120" s="104" t="s">
        <v>1148</v>
      </c>
      <c r="R120" s="106" t="s">
        <v>746</v>
      </c>
      <c r="S120" s="100" t="s">
        <v>661</v>
      </c>
      <c r="T120" s="99" t="s">
        <v>668</v>
      </c>
    </row>
    <row r="121" spans="1:20" s="1" customFormat="1" ht="108" x14ac:dyDescent="0.2">
      <c r="A121" s="151" t="s">
        <v>142</v>
      </c>
      <c r="B121" s="151"/>
      <c r="C121" s="122" t="str">
        <f>"Response for " &amp; C45</f>
        <v>Response for Supplier Systems</v>
      </c>
      <c r="D121" s="2" t="s">
        <v>17</v>
      </c>
      <c r="E121" s="2" t="s">
        <v>18</v>
      </c>
      <c r="F121" s="2" t="s">
        <v>338</v>
      </c>
      <c r="G121" s="2" t="s">
        <v>364</v>
      </c>
      <c r="H121" s="142" t="s">
        <v>564</v>
      </c>
      <c r="I121" s="143"/>
      <c r="J121" s="67">
        <f>SUM(J122:J141)</f>
        <v>0</v>
      </c>
      <c r="K121" s="86" t="s">
        <v>600</v>
      </c>
      <c r="L121" s="86" t="s">
        <v>601</v>
      </c>
      <c r="M121" s="86" t="s">
        <v>602</v>
      </c>
      <c r="N121" s="87" t="s">
        <v>603</v>
      </c>
      <c r="O121" s="87" t="s">
        <v>604</v>
      </c>
      <c r="P121" s="87" t="s">
        <v>605</v>
      </c>
      <c r="Q121" s="88" t="s">
        <v>1110</v>
      </c>
      <c r="R121" s="89" t="s">
        <v>608</v>
      </c>
      <c r="S121" s="87" t="s">
        <v>611</v>
      </c>
      <c r="T121" s="87" t="s">
        <v>615</v>
      </c>
    </row>
    <row r="122" spans="1:20" s="1" customFormat="1" ht="28.5" x14ac:dyDescent="0.2">
      <c r="A122" s="82" t="s">
        <v>176</v>
      </c>
      <c r="B122" s="17" t="s">
        <v>1075</v>
      </c>
      <c r="C122" s="13"/>
      <c r="D122" s="18"/>
      <c r="E122" s="51" t="str">
        <f>IF(C122="","",IF(C122="Yes","Provide a reference to your BCP and supporting documentation or submit it along with this fully-populated questionnaire. Please also describe how you ensure data availability in the event of the loss of systems or facilities.","Briefly summarize your response."))</f>
        <v/>
      </c>
      <c r="F122" s="31">
        <v>21</v>
      </c>
      <c r="G122" s="32" t="s">
        <v>411</v>
      </c>
      <c r="H122" s="68"/>
      <c r="I122" s="71"/>
      <c r="J122" s="69">
        <f t="shared" si="2"/>
        <v>0</v>
      </c>
      <c r="K122" s="105"/>
      <c r="L122" s="105"/>
      <c r="M122" s="105"/>
      <c r="N122" s="104" t="s">
        <v>751</v>
      </c>
      <c r="O122" s="104" t="s">
        <v>751</v>
      </c>
      <c r="P122" s="104"/>
      <c r="Q122" s="104" t="s">
        <v>1141</v>
      </c>
      <c r="R122" s="104" t="s">
        <v>752</v>
      </c>
      <c r="S122" s="100" t="s">
        <v>753</v>
      </c>
      <c r="T122" s="99" t="s">
        <v>754</v>
      </c>
    </row>
    <row r="123" spans="1:20" s="1" customFormat="1" ht="18" x14ac:dyDescent="0.2">
      <c r="A123" s="82" t="s">
        <v>177</v>
      </c>
      <c r="B123" s="17" t="s">
        <v>33</v>
      </c>
      <c r="C123" s="13"/>
      <c r="D123" s="18"/>
      <c r="E123" s="51" t="str">
        <f>IF(C123="","",IF(C123="Yes","Describe your BCP component review strategy.","Describe any plans to annually review and update (as needed) your BCP."))</f>
        <v/>
      </c>
      <c r="F123" s="31"/>
      <c r="G123" s="32" t="s">
        <v>412</v>
      </c>
      <c r="H123" s="68"/>
      <c r="I123" s="71"/>
      <c r="J123" s="69">
        <f t="shared" si="2"/>
        <v>0</v>
      </c>
      <c r="K123" s="105"/>
      <c r="L123" s="105"/>
      <c r="M123" s="105"/>
      <c r="N123" s="104" t="s">
        <v>751</v>
      </c>
      <c r="O123" s="104" t="s">
        <v>751</v>
      </c>
      <c r="P123" s="104"/>
      <c r="Q123" s="104" t="s">
        <v>1141</v>
      </c>
      <c r="R123" s="104" t="s">
        <v>752</v>
      </c>
      <c r="S123" s="100" t="s">
        <v>753</v>
      </c>
      <c r="T123" s="99" t="s">
        <v>754</v>
      </c>
    </row>
    <row r="124" spans="1:20" s="1" customFormat="1" ht="18" x14ac:dyDescent="0.2">
      <c r="A124" s="83" t="s">
        <v>178</v>
      </c>
      <c r="B124" s="17" t="s">
        <v>34</v>
      </c>
      <c r="C124" s="13"/>
      <c r="D124" s="18"/>
      <c r="E124" s="51" t="str">
        <f>IF(C124="","",IF(C124="Yes","State the date of your last BCP test.","Describe your strategy to implement annual BCP testing."))</f>
        <v/>
      </c>
      <c r="F124" s="31"/>
      <c r="G124" s="32"/>
      <c r="H124" s="68"/>
      <c r="I124" s="71"/>
      <c r="J124" s="69">
        <f t="shared" si="2"/>
        <v>0</v>
      </c>
      <c r="K124" s="105"/>
      <c r="L124" s="105"/>
      <c r="M124" s="105"/>
      <c r="N124" s="104" t="s">
        <v>755</v>
      </c>
      <c r="O124" s="104" t="s">
        <v>755</v>
      </c>
      <c r="P124" s="104"/>
      <c r="Q124" s="104" t="s">
        <v>1175</v>
      </c>
      <c r="R124" s="104" t="s">
        <v>756</v>
      </c>
      <c r="S124" s="100" t="s">
        <v>753</v>
      </c>
      <c r="T124" s="99" t="s">
        <v>757</v>
      </c>
    </row>
    <row r="125" spans="1:20" s="1" customFormat="1" ht="31.5" x14ac:dyDescent="0.2">
      <c r="A125" s="82" t="s">
        <v>179</v>
      </c>
      <c r="B125" s="17" t="s">
        <v>1076</v>
      </c>
      <c r="C125" s="13"/>
      <c r="D125" s="18"/>
      <c r="E125" s="85" t="str">
        <f>IF(C125="","",IF(C125="Yes","Provide your data privacy document, including frequency of updates. " &amp; "Indicate if the process ensures collection, storage, use, access, sharing, transport, retention and deletion of data in accordance with applicable law, privacy policy, privacy notices, and industry standard practices.","Describe plans to implement a data privacy process."))</f>
        <v/>
      </c>
      <c r="F125" s="31"/>
      <c r="G125" s="32" t="s">
        <v>413</v>
      </c>
      <c r="H125" s="68"/>
      <c r="I125" s="71"/>
      <c r="J125" s="69">
        <f t="shared" si="2"/>
        <v>0</v>
      </c>
      <c r="K125" s="105"/>
      <c r="L125" s="105"/>
      <c r="M125" s="105"/>
      <c r="N125" s="104" t="s">
        <v>649</v>
      </c>
      <c r="O125" s="104" t="s">
        <v>649</v>
      </c>
      <c r="P125" s="104"/>
      <c r="Q125" s="106" t="s">
        <v>1174</v>
      </c>
      <c r="R125" s="104"/>
      <c r="S125" s="100" t="s">
        <v>758</v>
      </c>
      <c r="T125" s="99" t="s">
        <v>759</v>
      </c>
    </row>
    <row r="126" spans="1:20" s="1" customFormat="1" ht="42.75" x14ac:dyDescent="0.2">
      <c r="A126" s="82" t="s">
        <v>180</v>
      </c>
      <c r="B126" s="17" t="s">
        <v>489</v>
      </c>
      <c r="C126" s="13"/>
      <c r="D126" s="18"/>
      <c r="E126" s="50" t="str">
        <f>IF(C126="","",IF(C126="Yes","Provide a reference to the requested documents, or provide them when submitting this fully-populated questionnaire.","State any plans to provide system and/or application architecture diagrams."))</f>
        <v/>
      </c>
      <c r="F126" s="31"/>
      <c r="G126" s="32" t="s">
        <v>414</v>
      </c>
      <c r="H126" s="68"/>
      <c r="I126" s="71"/>
      <c r="J126" s="69">
        <f t="shared" si="2"/>
        <v>0</v>
      </c>
      <c r="K126" s="105"/>
      <c r="L126" s="105"/>
      <c r="M126" s="105"/>
      <c r="N126" s="104"/>
      <c r="O126" s="104"/>
      <c r="P126" s="104"/>
      <c r="Q126" s="104"/>
      <c r="R126" s="104" t="s">
        <v>760</v>
      </c>
      <c r="S126" s="100"/>
      <c r="T126" s="99"/>
    </row>
    <row r="127" spans="1:20" s="1" customFormat="1" ht="47.25" x14ac:dyDescent="0.2">
      <c r="A127" s="82" t="s">
        <v>181</v>
      </c>
      <c r="B127" s="17" t="s">
        <v>490</v>
      </c>
      <c r="C127" s="13"/>
      <c r="D127" s="18"/>
      <c r="E127" s="53" t="str">
        <f>IF(C127="","",IF(C127="Yes","Provide details of these procedures (link or attached).","Provide a detailed summary for this response, including your current end-of-life procedures."))</f>
        <v/>
      </c>
      <c r="F127" s="31">
        <v>40</v>
      </c>
      <c r="G127" s="32" t="s">
        <v>415</v>
      </c>
      <c r="H127" s="68"/>
      <c r="I127" s="71"/>
      <c r="J127" s="69">
        <f t="shared" si="2"/>
        <v>0</v>
      </c>
      <c r="K127" s="105"/>
      <c r="L127" s="105"/>
      <c r="M127" s="105"/>
      <c r="N127" s="104" t="s">
        <v>761</v>
      </c>
      <c r="O127" s="104" t="s">
        <v>761</v>
      </c>
      <c r="P127" s="106" t="s">
        <v>762</v>
      </c>
      <c r="Q127" s="106" t="s">
        <v>1173</v>
      </c>
      <c r="R127" s="106" t="s">
        <v>763</v>
      </c>
      <c r="S127" s="108" t="s">
        <v>764</v>
      </c>
      <c r="T127" s="109" t="s">
        <v>765</v>
      </c>
    </row>
    <row r="128" spans="1:20" s="1" customFormat="1" ht="47.25" x14ac:dyDescent="0.2">
      <c r="A128" s="82" t="s">
        <v>182</v>
      </c>
      <c r="B128" s="17" t="s">
        <v>472</v>
      </c>
      <c r="C128" s="13"/>
      <c r="D128" s="18"/>
      <c r="E128" s="124" t="str">
        <f>IF(C128="","",IF(C128="Yes","Please provide a brief description of this process.","State plans to support secure deletion for archived/backed-up entity data."))</f>
        <v/>
      </c>
      <c r="F128" s="31">
        <v>46</v>
      </c>
      <c r="G128" s="32" t="s">
        <v>416</v>
      </c>
      <c r="H128" s="68"/>
      <c r="I128" s="71"/>
      <c r="J128" s="69">
        <f t="shared" si="2"/>
        <v>0</v>
      </c>
      <c r="K128" s="105"/>
      <c r="L128" s="105"/>
      <c r="M128" s="105"/>
      <c r="N128" s="104" t="s">
        <v>766</v>
      </c>
      <c r="O128" s="106" t="s">
        <v>767</v>
      </c>
      <c r="P128" s="104" t="s">
        <v>768</v>
      </c>
      <c r="Q128" s="106" t="s">
        <v>1172</v>
      </c>
      <c r="R128" s="106" t="s">
        <v>769</v>
      </c>
      <c r="S128" s="108" t="s">
        <v>770</v>
      </c>
      <c r="T128" s="109" t="s">
        <v>771</v>
      </c>
    </row>
    <row r="129" spans="1:174" s="1" customFormat="1" ht="85.5" x14ac:dyDescent="0.2">
      <c r="A129" s="82" t="s">
        <v>183</v>
      </c>
      <c r="B129" s="17" t="s">
        <v>480</v>
      </c>
      <c r="C129" s="13"/>
      <c r="D129" s="18"/>
      <c r="E129" s="53" t="s">
        <v>571</v>
      </c>
      <c r="F129" s="31">
        <v>24</v>
      </c>
      <c r="G129" s="32" t="s">
        <v>417</v>
      </c>
      <c r="H129" s="68"/>
      <c r="I129" s="71"/>
      <c r="J129" s="69">
        <f t="shared" si="2"/>
        <v>0</v>
      </c>
      <c r="K129" s="105"/>
      <c r="L129" s="105"/>
      <c r="M129" s="105"/>
      <c r="N129" s="104" t="s">
        <v>772</v>
      </c>
      <c r="O129" s="104" t="s">
        <v>772</v>
      </c>
      <c r="P129" s="104"/>
      <c r="Q129" s="106" t="s">
        <v>1046</v>
      </c>
      <c r="R129" s="106" t="s">
        <v>773</v>
      </c>
      <c r="S129" s="108" t="s">
        <v>774</v>
      </c>
      <c r="T129" s="109" t="s">
        <v>775</v>
      </c>
    </row>
    <row r="130" spans="1:174" s="1" customFormat="1" ht="78.75" x14ac:dyDescent="0.2">
      <c r="A130" s="82" t="s">
        <v>184</v>
      </c>
      <c r="B130" s="17" t="s">
        <v>491</v>
      </c>
      <c r="C130" s="13"/>
      <c r="D130" s="18"/>
      <c r="E130" s="53" t="str">
        <f>IF(C130="","",IF(C130="Yes","Please describe this program in adequate detail.",""))</f>
        <v/>
      </c>
      <c r="F130" s="31">
        <v>54</v>
      </c>
      <c r="G130" s="32" t="s">
        <v>418</v>
      </c>
      <c r="H130" s="68"/>
      <c r="I130" s="71"/>
      <c r="J130" s="69">
        <f t="shared" si="2"/>
        <v>0</v>
      </c>
      <c r="K130" s="105" t="s">
        <v>618</v>
      </c>
      <c r="L130" s="105"/>
      <c r="M130" s="107" t="s">
        <v>1176</v>
      </c>
      <c r="N130" s="106" t="s">
        <v>776</v>
      </c>
      <c r="O130" s="106" t="s">
        <v>776</v>
      </c>
      <c r="P130" s="106" t="s">
        <v>777</v>
      </c>
      <c r="Q130" s="106" t="s">
        <v>1171</v>
      </c>
      <c r="R130" s="106" t="s">
        <v>778</v>
      </c>
      <c r="S130" s="108" t="s">
        <v>779</v>
      </c>
      <c r="T130" s="109" t="s">
        <v>780</v>
      </c>
    </row>
    <row r="131" spans="1:174" s="1" customFormat="1" ht="63" x14ac:dyDescent="0.2">
      <c r="A131" s="82" t="s">
        <v>320</v>
      </c>
      <c r="B131" s="17" t="s">
        <v>583</v>
      </c>
      <c r="C131" s="13"/>
      <c r="D131" s="18"/>
      <c r="E131" s="53" t="s">
        <v>599</v>
      </c>
      <c r="F131" s="31">
        <v>58</v>
      </c>
      <c r="G131" s="32" t="s">
        <v>419</v>
      </c>
      <c r="H131" s="68"/>
      <c r="I131" s="71"/>
      <c r="J131" s="69">
        <f t="shared" si="2"/>
        <v>0</v>
      </c>
      <c r="K131" s="105" t="s">
        <v>618</v>
      </c>
      <c r="L131" s="105"/>
      <c r="M131" s="105"/>
      <c r="N131" s="104" t="s">
        <v>781</v>
      </c>
      <c r="O131" s="104" t="s">
        <v>781</v>
      </c>
      <c r="P131" s="104"/>
      <c r="Q131" s="104" t="s">
        <v>1128</v>
      </c>
      <c r="R131" s="106" t="s">
        <v>782</v>
      </c>
      <c r="S131" s="100"/>
      <c r="T131" s="99"/>
    </row>
    <row r="132" spans="1:174" s="1" customFormat="1" ht="78.75" x14ac:dyDescent="0.2">
      <c r="A132" s="82" t="s">
        <v>185</v>
      </c>
      <c r="B132" s="17" t="s">
        <v>492</v>
      </c>
      <c r="C132" s="13"/>
      <c r="D132" s="18"/>
      <c r="E132" s="53" t="s">
        <v>310</v>
      </c>
      <c r="F132" s="31">
        <v>52</v>
      </c>
      <c r="G132" s="32" t="s">
        <v>1077</v>
      </c>
      <c r="H132" s="68"/>
      <c r="I132" s="71"/>
      <c r="J132" s="69">
        <f t="shared" si="2"/>
        <v>0</v>
      </c>
      <c r="K132" s="105"/>
      <c r="L132" s="105"/>
      <c r="M132" s="105"/>
      <c r="N132" s="106" t="s">
        <v>783</v>
      </c>
      <c r="O132" s="106" t="s">
        <v>784</v>
      </c>
      <c r="P132" s="106" t="s">
        <v>785</v>
      </c>
      <c r="Q132" s="106" t="s">
        <v>1170</v>
      </c>
      <c r="R132" s="106" t="s">
        <v>786</v>
      </c>
      <c r="S132" s="108" t="s">
        <v>787</v>
      </c>
      <c r="T132" s="109" t="s">
        <v>788</v>
      </c>
    </row>
    <row r="133" spans="1:174" s="1" customFormat="1" ht="31.5" x14ac:dyDescent="0.2">
      <c r="A133" s="83" t="s">
        <v>186</v>
      </c>
      <c r="B133" s="17" t="s">
        <v>105</v>
      </c>
      <c r="C133" s="13"/>
      <c r="D133" s="18"/>
      <c r="E133" s="51" t="str">
        <f>IF(C133="","",IF(C133="Yes","Summarize your defined problem/issue escalation plan contained in your BCP.","Describe any plans to define a problem/issue escalation plan in your BCP."))</f>
        <v/>
      </c>
      <c r="F133" s="31"/>
      <c r="G133" s="32"/>
      <c r="H133" s="68"/>
      <c r="I133" s="71"/>
      <c r="J133" s="69">
        <f t="shared" si="2"/>
        <v>0</v>
      </c>
      <c r="K133" s="105" t="s">
        <v>750</v>
      </c>
      <c r="L133" s="105"/>
      <c r="M133" s="105"/>
      <c r="N133" s="104" t="s">
        <v>789</v>
      </c>
      <c r="O133" s="104" t="s">
        <v>789</v>
      </c>
      <c r="P133" s="106" t="s">
        <v>790</v>
      </c>
      <c r="Q133" s="106" t="s">
        <v>1169</v>
      </c>
      <c r="R133" s="106" t="s">
        <v>791</v>
      </c>
      <c r="S133" s="100"/>
      <c r="T133" s="99" t="s">
        <v>792</v>
      </c>
    </row>
    <row r="134" spans="1:174" s="1" customFormat="1" ht="31.5" x14ac:dyDescent="0.2">
      <c r="A134" s="83" t="s">
        <v>187</v>
      </c>
      <c r="B134" s="17" t="s">
        <v>493</v>
      </c>
      <c r="C134" s="13"/>
      <c r="D134" s="23"/>
      <c r="E134" s="84" t="str">
        <f>IF(C134="","",IF(C134="Yes","Describe how your DRP is validated and exercised.","Describe any plans to develop a Disaster Recovery Plan (DRP)."))</f>
        <v/>
      </c>
      <c r="F134" s="31"/>
      <c r="G134" s="32"/>
      <c r="H134" s="68"/>
      <c r="I134" s="71"/>
      <c r="J134" s="69">
        <f t="shared" si="2"/>
        <v>0</v>
      </c>
      <c r="K134" s="105"/>
      <c r="L134" s="105"/>
      <c r="M134" s="105"/>
      <c r="N134" s="104" t="s">
        <v>751</v>
      </c>
      <c r="O134" s="104" t="s">
        <v>751</v>
      </c>
      <c r="P134" s="104"/>
      <c r="Q134" s="104" t="s">
        <v>1141</v>
      </c>
      <c r="R134" s="106" t="s">
        <v>793</v>
      </c>
      <c r="S134" s="100" t="s">
        <v>753</v>
      </c>
      <c r="T134" s="99" t="s">
        <v>754</v>
      </c>
    </row>
    <row r="135" spans="1:174" s="1" customFormat="1" ht="31.5" x14ac:dyDescent="0.2">
      <c r="A135" s="83" t="s">
        <v>188</v>
      </c>
      <c r="B135" s="17" t="s">
        <v>1078</v>
      </c>
      <c r="C135" s="13"/>
      <c r="D135" s="18"/>
      <c r="E135" s="52" t="str">
        <f>IF(C135="","",IF(C135="Yes","Provide links to these documents in Additional Information or attach them with your submission. Include the responsible party for your information security program and the size of your security staff.","Provide a brief summary for this response."))</f>
        <v/>
      </c>
      <c r="F135" s="31"/>
      <c r="G135" s="32"/>
      <c r="H135" s="68"/>
      <c r="I135" s="71"/>
      <c r="J135" s="69">
        <f>H135*I135</f>
        <v>0</v>
      </c>
      <c r="K135" s="105"/>
      <c r="L135" s="105"/>
      <c r="M135" s="105"/>
      <c r="N135" s="104" t="s">
        <v>794</v>
      </c>
      <c r="O135" s="104" t="s">
        <v>794</v>
      </c>
      <c r="P135" s="104"/>
      <c r="Q135" s="106" t="s">
        <v>1168</v>
      </c>
      <c r="R135" s="104"/>
      <c r="S135" s="100" t="s">
        <v>795</v>
      </c>
      <c r="T135" s="99" t="s">
        <v>681</v>
      </c>
    </row>
    <row r="136" spans="1:174" s="1" customFormat="1" ht="45.75" customHeight="1" x14ac:dyDescent="0.2">
      <c r="A136" s="83" t="s">
        <v>189</v>
      </c>
      <c r="B136" s="17" t="s">
        <v>144</v>
      </c>
      <c r="C136" s="13"/>
      <c r="D136" s="18"/>
      <c r="E136" s="123" t="str">
        <f>IF(C136="","",IF(C136="Yes","Describe how data will be returned to the entity and in what format will it be presented, as well as how data will be securely deleted from your systems.","Summarize why the entity's data won't be returned, and plans to implement secure deletion of entity data."))</f>
        <v/>
      </c>
      <c r="F136" s="31"/>
      <c r="G136" s="32"/>
      <c r="H136" s="68"/>
      <c r="I136" s="71"/>
      <c r="J136" s="69">
        <f t="shared" si="2"/>
        <v>0</v>
      </c>
      <c r="K136" s="105"/>
      <c r="L136" s="105"/>
      <c r="M136" s="105"/>
      <c r="N136" s="104"/>
      <c r="O136" s="104"/>
      <c r="P136" s="104"/>
      <c r="Q136" s="104"/>
      <c r="R136" s="104"/>
      <c r="S136" s="100"/>
      <c r="T136" s="99"/>
    </row>
    <row r="137" spans="1:174" s="1" customFormat="1" ht="18" x14ac:dyDescent="0.2">
      <c r="A137" s="83" t="s">
        <v>190</v>
      </c>
      <c r="B137" s="17" t="s">
        <v>145</v>
      </c>
      <c r="C137" s="13"/>
      <c r="D137" s="18"/>
      <c r="E137" s="125" t="str">
        <f>IF(C137="","",IF(C137="Yes","Provide a reference to the requested documents, or provide them when submitting this fully-populated questionnaire.","State any plans to develop or provide data retention policies for entity data."))</f>
        <v/>
      </c>
      <c r="F137" s="31"/>
      <c r="G137" s="32"/>
      <c r="H137" s="68"/>
      <c r="I137" s="71"/>
      <c r="J137" s="69">
        <f t="shared" si="2"/>
        <v>0</v>
      </c>
      <c r="K137" s="105"/>
      <c r="L137" s="105"/>
      <c r="M137" s="105"/>
      <c r="N137" s="104" t="s">
        <v>796</v>
      </c>
      <c r="O137" s="104" t="s">
        <v>796</v>
      </c>
      <c r="P137" s="104"/>
      <c r="Q137" s="104"/>
      <c r="R137" s="104" t="s">
        <v>797</v>
      </c>
      <c r="S137" s="100" t="s">
        <v>798</v>
      </c>
      <c r="T137" s="99" t="s">
        <v>799</v>
      </c>
    </row>
    <row r="138" spans="1:174" s="1" customFormat="1" ht="18" x14ac:dyDescent="0.2">
      <c r="A138" s="83" t="s">
        <v>249</v>
      </c>
      <c r="B138" s="17" t="s">
        <v>1079</v>
      </c>
      <c r="C138" s="13"/>
      <c r="D138" s="18"/>
      <c r="E138" s="123" t="str">
        <f>IF(C138="","",IF(C138="Yes","Provide reference to or attach your data ownership documention.","Describe in detail why ownership rights are not retained by the entity."))</f>
        <v/>
      </c>
      <c r="F138" s="31"/>
      <c r="G138" s="32"/>
      <c r="H138" s="68"/>
      <c r="I138" s="71"/>
      <c r="J138" s="69">
        <f t="shared" si="2"/>
        <v>0</v>
      </c>
      <c r="K138" s="105"/>
      <c r="L138" s="105"/>
      <c r="M138" s="105"/>
      <c r="N138" s="104"/>
      <c r="O138" s="104"/>
      <c r="P138" s="104"/>
      <c r="Q138" s="104"/>
      <c r="R138" s="104"/>
      <c r="S138" s="100"/>
      <c r="T138" s="99"/>
    </row>
    <row r="139" spans="1:174" s="1" customFormat="1" ht="31.5" x14ac:dyDescent="0.2">
      <c r="A139" s="83" t="s">
        <v>268</v>
      </c>
      <c r="B139" s="17" t="s">
        <v>64</v>
      </c>
      <c r="C139" s="13"/>
      <c r="D139" s="18"/>
      <c r="E139" s="53" t="str">
        <f>IF(C139="","",IF(C139="Yes","Provide a general summary of your long-term data retention strategy.","State plans to implement a long-term data retention strategy."))</f>
        <v/>
      </c>
      <c r="F139" s="31"/>
      <c r="G139" s="32"/>
      <c r="H139" s="68"/>
      <c r="I139" s="71"/>
      <c r="J139" s="69">
        <f t="shared" si="2"/>
        <v>0</v>
      </c>
      <c r="K139" s="105"/>
      <c r="L139" s="105"/>
      <c r="M139" s="105"/>
      <c r="N139" s="104" t="s">
        <v>796</v>
      </c>
      <c r="O139" s="104" t="s">
        <v>796</v>
      </c>
      <c r="P139" s="104"/>
      <c r="Q139" s="104" t="s">
        <v>1111</v>
      </c>
      <c r="R139" s="106" t="s">
        <v>800</v>
      </c>
      <c r="S139" s="100" t="s">
        <v>798</v>
      </c>
      <c r="T139" s="99" t="s">
        <v>799</v>
      </c>
    </row>
    <row r="140" spans="1:174" s="1" customFormat="1" ht="18" x14ac:dyDescent="0.2">
      <c r="A140" s="83" t="s">
        <v>306</v>
      </c>
      <c r="B140" s="17" t="s">
        <v>1080</v>
      </c>
      <c r="C140" s="13"/>
      <c r="D140" s="18"/>
      <c r="E140" s="53" t="str">
        <f>IF(C140="","",IF(C140="Yes","Describe how compliance is integrated into your process and procedures.","State plans to handle data in a compliant manner."))</f>
        <v/>
      </c>
      <c r="F140" s="31"/>
      <c r="G140" s="32"/>
      <c r="H140" s="68"/>
      <c r="I140" s="71"/>
      <c r="J140" s="69">
        <f t="shared" si="2"/>
        <v>0</v>
      </c>
      <c r="K140" s="105"/>
      <c r="L140" s="105"/>
      <c r="M140" s="105"/>
      <c r="N140" s="104"/>
      <c r="O140" s="104"/>
      <c r="P140" s="104"/>
      <c r="Q140" s="104"/>
      <c r="R140" s="104"/>
      <c r="S140" s="100"/>
      <c r="T140" s="99"/>
    </row>
    <row r="141" spans="1:174" s="58" customFormat="1" ht="31.5" x14ac:dyDescent="0.2">
      <c r="A141" s="82" t="s">
        <v>546</v>
      </c>
      <c r="B141" s="17" t="s">
        <v>547</v>
      </c>
      <c r="C141" s="13"/>
      <c r="D141" s="18"/>
      <c r="E141" s="60"/>
      <c r="F141" s="31">
        <v>20.100000000000001</v>
      </c>
      <c r="G141" s="37"/>
      <c r="H141" s="68"/>
      <c r="I141" s="71"/>
      <c r="J141" s="69">
        <f t="shared" si="2"/>
        <v>0</v>
      </c>
      <c r="K141" s="105"/>
      <c r="L141" s="105"/>
      <c r="M141" s="105" t="s">
        <v>1177</v>
      </c>
      <c r="N141" s="106" t="s">
        <v>801</v>
      </c>
      <c r="O141" s="106" t="s">
        <v>801</v>
      </c>
      <c r="P141" s="104" t="s">
        <v>802</v>
      </c>
      <c r="Q141" s="106" t="s">
        <v>1167</v>
      </c>
      <c r="R141" s="104" t="s">
        <v>803</v>
      </c>
      <c r="S141" s="100" t="s">
        <v>804</v>
      </c>
      <c r="T141" s="99" t="s">
        <v>690</v>
      </c>
    </row>
    <row r="142" spans="1:174" s="1" customFormat="1" ht="108" x14ac:dyDescent="0.2">
      <c r="A142" s="151" t="s">
        <v>138</v>
      </c>
      <c r="B142" s="151"/>
      <c r="C142" s="122" t="str">
        <f>"Response for " &amp; C45</f>
        <v>Response for Supplier Systems</v>
      </c>
      <c r="D142" s="2" t="s">
        <v>17</v>
      </c>
      <c r="E142" s="2" t="s">
        <v>18</v>
      </c>
      <c r="F142" s="2" t="s">
        <v>338</v>
      </c>
      <c r="G142" s="2" t="s">
        <v>364</v>
      </c>
      <c r="H142" s="142" t="s">
        <v>564</v>
      </c>
      <c r="I142" s="143"/>
      <c r="J142" s="67">
        <f>SUM(J143:J156)</f>
        <v>0</v>
      </c>
      <c r="K142" s="86" t="s">
        <v>600</v>
      </c>
      <c r="L142" s="86" t="s">
        <v>601</v>
      </c>
      <c r="M142" s="86" t="s">
        <v>602</v>
      </c>
      <c r="N142" s="87" t="s">
        <v>603</v>
      </c>
      <c r="O142" s="87" t="s">
        <v>604</v>
      </c>
      <c r="P142" s="87" t="s">
        <v>605</v>
      </c>
      <c r="Q142" s="88" t="s">
        <v>1110</v>
      </c>
      <c r="R142" s="89" t="s">
        <v>608</v>
      </c>
      <c r="S142" s="87" t="s">
        <v>611</v>
      </c>
      <c r="T142" s="87" t="s">
        <v>615</v>
      </c>
    </row>
    <row r="143" spans="1:174" s="1" customFormat="1" ht="31.5" x14ac:dyDescent="0.2">
      <c r="A143" s="82" t="s">
        <v>35</v>
      </c>
      <c r="B143" s="17" t="s">
        <v>318</v>
      </c>
      <c r="C143" s="13"/>
      <c r="D143" s="18"/>
      <c r="E143" s="51" t="str">
        <f>IF(C143="","",IF(C143="Yes","Summarize your current change management process.","Describe current plans to implement a change management process."))</f>
        <v/>
      </c>
      <c r="F143" s="31"/>
      <c r="G143" s="32"/>
      <c r="H143" s="68"/>
      <c r="I143" s="71"/>
      <c r="J143" s="69">
        <f t="shared" ref="J143:J206" si="3">H143*I143</f>
        <v>0</v>
      </c>
      <c r="K143" s="105"/>
      <c r="L143" s="105"/>
      <c r="M143" s="107" t="s">
        <v>1164</v>
      </c>
      <c r="N143" s="106" t="s">
        <v>805</v>
      </c>
      <c r="O143" s="106" t="s">
        <v>805</v>
      </c>
      <c r="P143" s="104" t="s">
        <v>806</v>
      </c>
      <c r="Q143" s="106" t="s">
        <v>1163</v>
      </c>
      <c r="R143" s="106" t="s">
        <v>807</v>
      </c>
      <c r="S143" s="100" t="s">
        <v>808</v>
      </c>
      <c r="T143" s="99" t="s">
        <v>672</v>
      </c>
    </row>
    <row r="144" spans="1:174" ht="78.75" x14ac:dyDescent="0.2">
      <c r="A144" s="82" t="s">
        <v>36</v>
      </c>
      <c r="B144" s="17" t="s">
        <v>244</v>
      </c>
      <c r="C144" s="13"/>
      <c r="D144" s="21"/>
      <c r="E144" s="51" t="str">
        <f>IF(C144="","",IF(C144="Yes","Describe how this is accomplished within your environment.","Describe your plans to ensure that only application software verifiable as authorized, tested, and approved for production, is placed into production."))</f>
        <v/>
      </c>
      <c r="F144" s="31"/>
      <c r="G144" s="32" t="s">
        <v>420</v>
      </c>
      <c r="H144" s="68"/>
      <c r="I144" s="71"/>
      <c r="J144" s="69">
        <f t="shared" si="3"/>
        <v>0</v>
      </c>
      <c r="K144" s="105" t="s">
        <v>618</v>
      </c>
      <c r="L144" s="105"/>
      <c r="M144" s="105"/>
      <c r="N144" s="104" t="s">
        <v>809</v>
      </c>
      <c r="O144" s="104" t="s">
        <v>809</v>
      </c>
      <c r="P144" s="104" t="s">
        <v>806</v>
      </c>
      <c r="Q144" s="106" t="s">
        <v>1163</v>
      </c>
      <c r="R144" s="106" t="s">
        <v>810</v>
      </c>
      <c r="S144" s="100" t="s">
        <v>811</v>
      </c>
      <c r="T144" s="99" t="s">
        <v>672</v>
      </c>
      <c r="FR144"/>
    </row>
    <row r="145" spans="1:174" ht="63" x14ac:dyDescent="0.2">
      <c r="A145" s="82" t="s">
        <v>37</v>
      </c>
      <c r="B145" s="17" t="s">
        <v>319</v>
      </c>
      <c r="C145" s="13"/>
      <c r="D145" s="21"/>
      <c r="E145" s="51" t="s">
        <v>301</v>
      </c>
      <c r="F145" s="31">
        <v>50</v>
      </c>
      <c r="G145" s="32" t="s">
        <v>421</v>
      </c>
      <c r="H145" s="68"/>
      <c r="I145" s="71"/>
      <c r="J145" s="69">
        <f t="shared" si="3"/>
        <v>0</v>
      </c>
      <c r="K145" s="105"/>
      <c r="L145" s="105"/>
      <c r="M145" s="107" t="s">
        <v>1165</v>
      </c>
      <c r="N145" s="104" t="s">
        <v>812</v>
      </c>
      <c r="O145" s="104" t="s">
        <v>812</v>
      </c>
      <c r="P145" s="104" t="s">
        <v>813</v>
      </c>
      <c r="Q145" s="106" t="s">
        <v>1162</v>
      </c>
      <c r="R145" s="106" t="s">
        <v>814</v>
      </c>
      <c r="S145" s="100" t="s">
        <v>635</v>
      </c>
      <c r="T145" s="109" t="s">
        <v>815</v>
      </c>
      <c r="FR145"/>
    </row>
    <row r="146" spans="1:174" ht="28.5" x14ac:dyDescent="0.2">
      <c r="A146" s="82" t="s">
        <v>38</v>
      </c>
      <c r="B146" s="17" t="s">
        <v>308</v>
      </c>
      <c r="C146" s="13"/>
      <c r="D146" s="18"/>
      <c r="E146" s="53"/>
      <c r="F146" s="31">
        <v>56</v>
      </c>
      <c r="G146" s="32" t="s">
        <v>422</v>
      </c>
      <c r="H146" s="68"/>
      <c r="I146" s="71"/>
      <c r="J146" s="69">
        <f t="shared" si="3"/>
        <v>0</v>
      </c>
      <c r="K146" s="105"/>
      <c r="L146" s="105" t="s">
        <v>1166</v>
      </c>
      <c r="M146" s="105"/>
      <c r="N146" s="104" t="s">
        <v>816</v>
      </c>
      <c r="O146" s="106" t="s">
        <v>816</v>
      </c>
      <c r="P146" s="104" t="s">
        <v>817</v>
      </c>
      <c r="Q146" s="104" t="s">
        <v>1113</v>
      </c>
      <c r="R146" s="104" t="s">
        <v>818</v>
      </c>
      <c r="S146" s="100"/>
      <c r="T146" s="99"/>
      <c r="FR146"/>
    </row>
    <row r="147" spans="1:174" s="1" customFormat="1" ht="94.5" x14ac:dyDescent="0.2">
      <c r="A147" s="82" t="s">
        <v>40</v>
      </c>
      <c r="B147" s="17" t="s">
        <v>494</v>
      </c>
      <c r="C147" s="13"/>
      <c r="D147" s="18"/>
      <c r="E147" s="51" t="str">
        <f>IF(C147="","",IF(C147="Yes","Summarize your implemented system configuration management process.","Describe how system configuration management is currently handled in your environment."))</f>
        <v/>
      </c>
      <c r="F147" s="31"/>
      <c r="G147" s="32"/>
      <c r="H147" s="68"/>
      <c r="I147" s="71"/>
      <c r="J147" s="69">
        <f t="shared" si="3"/>
        <v>0</v>
      </c>
      <c r="K147" s="105"/>
      <c r="L147" s="105"/>
      <c r="M147" s="105" t="s">
        <v>1117</v>
      </c>
      <c r="N147" s="106" t="s">
        <v>819</v>
      </c>
      <c r="O147" s="106" t="s">
        <v>819</v>
      </c>
      <c r="P147" s="104" t="s">
        <v>802</v>
      </c>
      <c r="Q147" s="104" t="s">
        <v>1113</v>
      </c>
      <c r="R147" s="106" t="s">
        <v>820</v>
      </c>
      <c r="S147" s="100" t="s">
        <v>821</v>
      </c>
      <c r="T147" s="99" t="s">
        <v>672</v>
      </c>
    </row>
    <row r="148" spans="1:174" s="1" customFormat="1" ht="47.25" x14ac:dyDescent="0.2">
      <c r="A148" s="82" t="s">
        <v>41</v>
      </c>
      <c r="B148" s="17" t="s">
        <v>81</v>
      </c>
      <c r="C148" s="13"/>
      <c r="D148" s="23"/>
      <c r="E148" s="52" t="str">
        <f>IF(C148="","",IF(C148="Yes","Summarize your systems management and configuration strategy.","Describe your intent to implement a systems management and configuration strategy."))</f>
        <v/>
      </c>
      <c r="F148" s="31"/>
      <c r="G148" s="32"/>
      <c r="H148" s="68"/>
      <c r="I148" s="71"/>
      <c r="J148" s="69">
        <f t="shared" si="3"/>
        <v>0</v>
      </c>
      <c r="K148" s="105"/>
      <c r="L148" s="105"/>
      <c r="M148" s="105"/>
      <c r="N148" s="104" t="s">
        <v>822</v>
      </c>
      <c r="O148" s="104" t="s">
        <v>822</v>
      </c>
      <c r="P148" s="106" t="s">
        <v>823</v>
      </c>
      <c r="Q148" s="104" t="s">
        <v>1113</v>
      </c>
      <c r="R148" s="106" t="s">
        <v>824</v>
      </c>
      <c r="S148" s="100" t="s">
        <v>821</v>
      </c>
      <c r="T148" s="99" t="s">
        <v>672</v>
      </c>
    </row>
    <row r="149" spans="1:174" s="1" customFormat="1" ht="31.5" x14ac:dyDescent="0.2">
      <c r="A149" s="82" t="s">
        <v>42</v>
      </c>
      <c r="B149" s="17" t="s">
        <v>114</v>
      </c>
      <c r="C149" s="23"/>
      <c r="D149" s="23"/>
      <c r="E149" s="51" t="s">
        <v>529</v>
      </c>
      <c r="F149" s="31"/>
      <c r="G149" s="32"/>
      <c r="H149" s="68"/>
      <c r="I149" s="71"/>
      <c r="J149" s="69">
        <f t="shared" si="3"/>
        <v>0</v>
      </c>
      <c r="K149" s="105"/>
      <c r="L149" s="105"/>
      <c r="M149" s="105"/>
      <c r="N149" s="106" t="s">
        <v>825</v>
      </c>
      <c r="O149" s="106" t="s">
        <v>825</v>
      </c>
      <c r="P149" s="104"/>
      <c r="Q149" s="104" t="s">
        <v>1113</v>
      </c>
      <c r="R149" s="106" t="s">
        <v>807</v>
      </c>
      <c r="S149" s="100" t="s">
        <v>808</v>
      </c>
      <c r="T149" s="99" t="s">
        <v>672</v>
      </c>
    </row>
    <row r="150" spans="1:174" ht="31.5" x14ac:dyDescent="0.2">
      <c r="A150" s="82" t="s">
        <v>43</v>
      </c>
      <c r="B150" s="17" t="s">
        <v>1081</v>
      </c>
      <c r="C150" s="13"/>
      <c r="D150" s="21"/>
      <c r="E150" s="124" t="str">
        <f>IF(C150="","",IF(C150="Yes","State how and when the entity will be notified of major changes to your environment.","Describe plans to establish a formal notification mechanism for major environmental changes."))</f>
        <v/>
      </c>
      <c r="F150" s="31"/>
      <c r="G150" s="32"/>
      <c r="H150" s="68"/>
      <c r="I150" s="71"/>
      <c r="J150" s="69">
        <f t="shared" si="3"/>
        <v>0</v>
      </c>
      <c r="K150" s="105"/>
      <c r="L150" s="105"/>
      <c r="M150" s="105"/>
      <c r="N150" s="104" t="s">
        <v>826</v>
      </c>
      <c r="O150" s="104" t="s">
        <v>826</v>
      </c>
      <c r="P150" s="104" t="s">
        <v>827</v>
      </c>
      <c r="Q150" s="106" t="s">
        <v>1113</v>
      </c>
      <c r="R150" s="106" t="s">
        <v>828</v>
      </c>
      <c r="S150" s="100"/>
      <c r="T150" s="99" t="s">
        <v>672</v>
      </c>
      <c r="FR150"/>
    </row>
    <row r="151" spans="1:174" ht="18" x14ac:dyDescent="0.2">
      <c r="A151" s="82" t="s">
        <v>44</v>
      </c>
      <c r="B151" s="17" t="s">
        <v>39</v>
      </c>
      <c r="C151" s="13"/>
      <c r="D151" s="21"/>
      <c r="E151" s="53" t="str">
        <f>IF(C151="","",IF(C151="Yes","Summarize or provide a reference to the process/procedure to manage releases.","Summarize why clients do not have alternative release options."))</f>
        <v/>
      </c>
      <c r="F151" s="31"/>
      <c r="G151" s="32"/>
      <c r="H151" s="68"/>
      <c r="I151" s="71"/>
      <c r="J151" s="69">
        <f t="shared" si="3"/>
        <v>0</v>
      </c>
      <c r="K151" s="105"/>
      <c r="L151" s="105"/>
      <c r="M151" s="105"/>
      <c r="N151" s="104"/>
      <c r="O151" s="104"/>
      <c r="P151" s="104"/>
      <c r="Q151" s="104"/>
      <c r="R151" s="104"/>
      <c r="S151" s="100"/>
      <c r="T151" s="99"/>
      <c r="FR151"/>
    </row>
    <row r="152" spans="1:174" ht="18" x14ac:dyDescent="0.2">
      <c r="A152" s="82" t="s">
        <v>191</v>
      </c>
      <c r="B152" s="17" t="s">
        <v>115</v>
      </c>
      <c r="C152" s="13"/>
      <c r="D152" s="21"/>
      <c r="E152" s="53" t="str">
        <f>IF(C152="","",IF(C152="Yes","Please describe your support strategy.",""))</f>
        <v/>
      </c>
      <c r="F152" s="31"/>
      <c r="G152" s="32"/>
      <c r="H152" s="68"/>
      <c r="I152" s="71"/>
      <c r="J152" s="69">
        <f t="shared" si="3"/>
        <v>0</v>
      </c>
      <c r="K152" s="105"/>
      <c r="L152" s="105"/>
      <c r="M152" s="105"/>
      <c r="N152" s="104"/>
      <c r="O152" s="104"/>
      <c r="P152" s="104"/>
      <c r="Q152" s="104"/>
      <c r="R152" s="104"/>
      <c r="S152" s="100"/>
      <c r="T152" s="99"/>
      <c r="FR152"/>
    </row>
    <row r="153" spans="1:174" ht="18" x14ac:dyDescent="0.2">
      <c r="A153" s="82" t="s">
        <v>45</v>
      </c>
      <c r="B153" s="17" t="s">
        <v>106</v>
      </c>
      <c r="C153" s="13"/>
      <c r="D153" s="21"/>
      <c r="E153" s="51" t="str">
        <f>IF(C153="","",IF(C153="Yes","Describe how this is accomplished within your system.","Describe any business or technical reasons why customizations are not supported."))</f>
        <v/>
      </c>
      <c r="F153" s="31"/>
      <c r="G153" s="32"/>
      <c r="H153" s="68"/>
      <c r="I153" s="71"/>
      <c r="J153" s="69">
        <f t="shared" si="3"/>
        <v>0</v>
      </c>
      <c r="K153" s="105"/>
      <c r="L153" s="105"/>
      <c r="M153" s="105"/>
      <c r="N153" s="104"/>
      <c r="O153" s="104"/>
      <c r="P153" s="104"/>
      <c r="Q153" s="104"/>
      <c r="R153" s="104"/>
      <c r="S153" s="100"/>
      <c r="T153" s="99"/>
      <c r="FR153"/>
    </row>
    <row r="154" spans="1:174" ht="78.75" x14ac:dyDescent="0.2">
      <c r="A154" s="82" t="s">
        <v>46</v>
      </c>
      <c r="B154" s="17" t="s">
        <v>495</v>
      </c>
      <c r="C154" s="13"/>
      <c r="D154" s="21"/>
      <c r="E154" s="51" t="str">
        <f>IF(C154="","",IF(C154="Yes","Please summarize the policy and procedure(s) managing how critical patches are applied to systems and applications and provide a copy.","State your plans to implement policy and procedure(s) to manage how critical patches are applied to systems and applications. Please also describe how critical patches are currently managed and applied."))</f>
        <v/>
      </c>
      <c r="F154" s="31"/>
      <c r="G154" s="32"/>
      <c r="H154" s="68"/>
      <c r="I154" s="71"/>
      <c r="J154" s="69">
        <f t="shared" si="3"/>
        <v>0</v>
      </c>
      <c r="K154" s="105"/>
      <c r="L154" s="105"/>
      <c r="M154" s="105"/>
      <c r="N154" s="106" t="s">
        <v>829</v>
      </c>
      <c r="O154" s="106" t="s">
        <v>829</v>
      </c>
      <c r="P154" s="104" t="s">
        <v>813</v>
      </c>
      <c r="Q154" s="106" t="s">
        <v>1162</v>
      </c>
      <c r="R154" s="106" t="s">
        <v>830</v>
      </c>
      <c r="S154" s="100" t="s">
        <v>635</v>
      </c>
      <c r="T154" s="109" t="s">
        <v>831</v>
      </c>
      <c r="FR154"/>
    </row>
    <row r="155" spans="1:174" ht="47.25" customHeight="1" x14ac:dyDescent="0.2">
      <c r="A155" s="82" t="s">
        <v>192</v>
      </c>
      <c r="B155" s="30" t="s">
        <v>496</v>
      </c>
      <c r="C155" s="13"/>
      <c r="D155" s="29"/>
      <c r="E155" s="51" t="str">
        <f>IF(C155="","",IF(C155="Yes","Summarize the policy and procedure(s) guiding risk mitigation practices before critical patches can be applied and provide a copy if available.","State your plans to implement policy and procedure(s) guiding risk mitigation practices before critical patches can be applied."))</f>
        <v/>
      </c>
      <c r="F155" s="31"/>
      <c r="G155" s="32"/>
      <c r="H155" s="68"/>
      <c r="I155" s="71"/>
      <c r="J155" s="69">
        <f t="shared" si="3"/>
        <v>0</v>
      </c>
      <c r="K155" s="105"/>
      <c r="L155" s="105"/>
      <c r="M155" s="105"/>
      <c r="N155" s="104"/>
      <c r="O155" s="104"/>
      <c r="P155" s="104"/>
      <c r="Q155" s="106" t="s">
        <v>1162</v>
      </c>
      <c r="R155" s="104" t="s">
        <v>832</v>
      </c>
      <c r="S155" s="100" t="s">
        <v>635</v>
      </c>
      <c r="T155" s="99" t="s">
        <v>617</v>
      </c>
      <c r="FR155"/>
    </row>
    <row r="156" spans="1:174" ht="18" x14ac:dyDescent="0.2">
      <c r="A156" s="82" t="s">
        <v>307</v>
      </c>
      <c r="B156" s="17" t="s">
        <v>71</v>
      </c>
      <c r="C156" s="13"/>
      <c r="D156" s="29"/>
      <c r="E156" s="51" t="str">
        <f>IF(C156="","",IF(C156="Yes","Please describe the policy, including required approvals, for firewall change requests.","State your plans to implement a firewall change request policy or procedure."))</f>
        <v/>
      </c>
      <c r="F156" s="31"/>
      <c r="G156" s="32"/>
      <c r="H156" s="68"/>
      <c r="I156" s="71"/>
      <c r="J156" s="69">
        <f t="shared" si="3"/>
        <v>0</v>
      </c>
      <c r="K156" s="105"/>
      <c r="L156" s="105"/>
      <c r="M156" s="105"/>
      <c r="N156" s="104"/>
      <c r="O156" s="104"/>
      <c r="P156" s="104"/>
      <c r="Q156" s="104"/>
      <c r="R156" s="104"/>
      <c r="S156" s="100"/>
      <c r="T156" s="99"/>
      <c r="FR156"/>
    </row>
    <row r="157" spans="1:174" ht="108" x14ac:dyDescent="0.2">
      <c r="A157" s="151" t="s">
        <v>143</v>
      </c>
      <c r="B157" s="151"/>
      <c r="C157" s="122" t="str">
        <f>"Response for " &amp; C45</f>
        <v>Response for Supplier Systems</v>
      </c>
      <c r="D157" s="2" t="s">
        <v>17</v>
      </c>
      <c r="E157" s="2" t="s">
        <v>18</v>
      </c>
      <c r="F157" s="2" t="s">
        <v>338</v>
      </c>
      <c r="G157" s="2" t="s">
        <v>364</v>
      </c>
      <c r="H157" s="142" t="s">
        <v>564</v>
      </c>
      <c r="I157" s="143"/>
      <c r="J157" s="67">
        <f>SUM(J158:J181)</f>
        <v>0</v>
      </c>
      <c r="K157" s="86" t="s">
        <v>600</v>
      </c>
      <c r="L157" s="86" t="s">
        <v>601</v>
      </c>
      <c r="M157" s="86" t="s">
        <v>602</v>
      </c>
      <c r="N157" s="87" t="s">
        <v>603</v>
      </c>
      <c r="O157" s="87" t="s">
        <v>604</v>
      </c>
      <c r="P157" s="87" t="s">
        <v>605</v>
      </c>
      <c r="Q157" s="88" t="s">
        <v>1110</v>
      </c>
      <c r="R157" s="89" t="s">
        <v>608</v>
      </c>
      <c r="S157" s="87" t="s">
        <v>611</v>
      </c>
      <c r="T157" s="87" t="s">
        <v>615</v>
      </c>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row>
    <row r="158" spans="1:174" ht="47.25" x14ac:dyDescent="0.2">
      <c r="A158" s="82" t="s">
        <v>321</v>
      </c>
      <c r="B158" s="17" t="s">
        <v>553</v>
      </c>
      <c r="C158" s="13"/>
      <c r="D158" s="12"/>
      <c r="E158" s="51" t="str">
        <f>IF(C158="","",IF(C158="Yes","Provide a general summary of your archival environment.","State plans to store long-term media in environmentally protected areas."))</f>
        <v/>
      </c>
      <c r="F158" s="34"/>
      <c r="G158" s="34" t="s">
        <v>423</v>
      </c>
      <c r="H158" s="68"/>
      <c r="I158" s="71"/>
      <c r="J158" s="69">
        <f t="shared" si="3"/>
        <v>0</v>
      </c>
      <c r="K158" s="105"/>
      <c r="L158" s="105"/>
      <c r="M158" s="105"/>
      <c r="N158" s="104" t="s">
        <v>625</v>
      </c>
      <c r="O158" s="104" t="s">
        <v>625</v>
      </c>
      <c r="P158" s="106" t="s">
        <v>833</v>
      </c>
      <c r="Q158" s="104" t="s">
        <v>1128</v>
      </c>
      <c r="R158" s="106" t="s">
        <v>834</v>
      </c>
      <c r="S158" s="100" t="s">
        <v>798</v>
      </c>
      <c r="T158" s="99" t="s">
        <v>629</v>
      </c>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row>
    <row r="159" spans="1:174" ht="18" x14ac:dyDescent="0.2">
      <c r="A159" s="82" t="s">
        <v>322</v>
      </c>
      <c r="B159" s="17" t="s">
        <v>1082</v>
      </c>
      <c r="C159" s="13"/>
      <c r="D159" s="18"/>
      <c r="E159" s="123" t="str">
        <f>IF(C159="","",IF(C159="Yes","","Please state the owner of the physical data center where the entity's data will reside."))</f>
        <v/>
      </c>
      <c r="F159" s="34"/>
      <c r="G159" s="34" t="s">
        <v>424</v>
      </c>
      <c r="H159" s="68"/>
      <c r="I159" s="71"/>
      <c r="J159" s="69">
        <f t="shared" si="3"/>
        <v>0</v>
      </c>
      <c r="K159" s="105"/>
      <c r="L159" s="105"/>
      <c r="M159" s="105"/>
      <c r="N159" s="104"/>
      <c r="O159" s="104"/>
      <c r="P159" s="104"/>
      <c r="Q159" s="104"/>
      <c r="R159" s="104"/>
      <c r="S159" s="100"/>
      <c r="T159" s="9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row>
    <row r="160" spans="1:174" ht="28.5" x14ac:dyDescent="0.2">
      <c r="A160" s="82" t="s">
        <v>323</v>
      </c>
      <c r="B160" s="17" t="s">
        <v>68</v>
      </c>
      <c r="C160" s="13"/>
      <c r="D160" s="18"/>
      <c r="E160" s="51" t="str">
        <f>IF(C160="","",IF(C160="Yes","","Please describe security controls that prevent unauthorized physical contacts with your devices."))</f>
        <v/>
      </c>
      <c r="F160" s="34"/>
      <c r="G160" s="34"/>
      <c r="H160" s="68"/>
      <c r="I160" s="71"/>
      <c r="J160" s="69">
        <f t="shared" si="3"/>
        <v>0</v>
      </c>
      <c r="K160" s="105"/>
      <c r="L160" s="105"/>
      <c r="M160" s="105"/>
      <c r="N160" s="104" t="s">
        <v>835</v>
      </c>
      <c r="O160" s="104" t="s">
        <v>835</v>
      </c>
      <c r="P160" s="104" t="s">
        <v>836</v>
      </c>
      <c r="Q160" s="104" t="s">
        <v>1133</v>
      </c>
      <c r="R160" s="104" t="s">
        <v>627</v>
      </c>
      <c r="S160" s="100" t="s">
        <v>837</v>
      </c>
      <c r="T160" s="99" t="s">
        <v>629</v>
      </c>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row>
    <row r="161" spans="1:174" ht="18" x14ac:dyDescent="0.2">
      <c r="A161" s="82" t="s">
        <v>324</v>
      </c>
      <c r="B161" s="17" t="s">
        <v>1083</v>
      </c>
      <c r="C161" s="13"/>
      <c r="D161" s="18"/>
      <c r="E161" s="51"/>
      <c r="F161" s="34"/>
      <c r="G161" s="34"/>
      <c r="H161" s="68"/>
      <c r="I161" s="71"/>
      <c r="J161" s="69">
        <f t="shared" si="3"/>
        <v>0</v>
      </c>
      <c r="K161" s="105"/>
      <c r="L161" s="105"/>
      <c r="M161" s="105"/>
      <c r="N161" s="104"/>
      <c r="O161" s="104" t="s">
        <v>838</v>
      </c>
      <c r="P161" s="104"/>
      <c r="Q161" s="104" t="s">
        <v>1160</v>
      </c>
      <c r="R161" s="104" t="s">
        <v>839</v>
      </c>
      <c r="S161" s="100" t="s">
        <v>840</v>
      </c>
      <c r="T161" s="99" t="s">
        <v>841</v>
      </c>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row>
    <row r="162" spans="1:174" ht="47.25" x14ac:dyDescent="0.2">
      <c r="A162" s="82" t="s">
        <v>325</v>
      </c>
      <c r="B162" s="17" t="s">
        <v>497</v>
      </c>
      <c r="C162" s="13"/>
      <c r="D162" s="15"/>
      <c r="E162" s="51" t="str">
        <f>IF(C162="","",IF(C162="Yes","Please describe how this is accomplished, including the process by which it is ensure that access has been approved before it is provisioned.","Please describe plans to implement appropriate segregation of duties."))</f>
        <v/>
      </c>
      <c r="F162" s="34"/>
      <c r="G162" s="34" t="s">
        <v>425</v>
      </c>
      <c r="H162" s="68"/>
      <c r="I162" s="71"/>
      <c r="J162" s="69">
        <f t="shared" si="3"/>
        <v>0</v>
      </c>
      <c r="K162" s="105"/>
      <c r="L162" s="105"/>
      <c r="M162" s="105"/>
      <c r="N162" s="104" t="s">
        <v>842</v>
      </c>
      <c r="O162" s="104" t="s">
        <v>842</v>
      </c>
      <c r="P162" s="104" t="s">
        <v>843</v>
      </c>
      <c r="Q162" s="104" t="s">
        <v>1148</v>
      </c>
      <c r="R162" s="106" t="s">
        <v>844</v>
      </c>
      <c r="S162" s="100" t="s">
        <v>845</v>
      </c>
      <c r="T162" s="99" t="s">
        <v>662</v>
      </c>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row>
    <row r="163" spans="1:174" ht="57" x14ac:dyDescent="0.2">
      <c r="A163" s="82" t="s">
        <v>326</v>
      </c>
      <c r="B163" s="17" t="s">
        <v>107</v>
      </c>
      <c r="C163" s="13"/>
      <c r="D163" s="23"/>
      <c r="E163" s="51" t="s">
        <v>60</v>
      </c>
      <c r="F163" s="34"/>
      <c r="G163" s="34"/>
      <c r="H163" s="68"/>
      <c r="I163" s="71"/>
      <c r="J163" s="69">
        <f t="shared" si="3"/>
        <v>0</v>
      </c>
      <c r="K163" s="105"/>
      <c r="L163" s="105"/>
      <c r="M163" s="105"/>
      <c r="N163" s="104"/>
      <c r="O163" s="104" t="s">
        <v>846</v>
      </c>
      <c r="P163" s="104" t="s">
        <v>847</v>
      </c>
      <c r="Q163" s="104" t="s">
        <v>1144</v>
      </c>
      <c r="R163" s="106" t="s">
        <v>848</v>
      </c>
      <c r="S163" s="100" t="s">
        <v>849</v>
      </c>
      <c r="T163" s="99" t="s">
        <v>841</v>
      </c>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row>
    <row r="164" spans="1:174" ht="18" x14ac:dyDescent="0.2">
      <c r="A164" s="82" t="s">
        <v>327</v>
      </c>
      <c r="B164" s="17" t="s">
        <v>554</v>
      </c>
      <c r="C164" s="13"/>
      <c r="D164" s="12"/>
      <c r="E164" s="51" t="str">
        <f>IF(C164="","",IF(C164="Yes","","State plans to adhere to DoD 5220.22-M and/or NIST SP 800-88 standards."))</f>
        <v/>
      </c>
      <c r="F164" s="34"/>
      <c r="G164" s="34"/>
      <c r="H164" s="68"/>
      <c r="I164" s="71"/>
      <c r="J164" s="69">
        <f t="shared" si="3"/>
        <v>0</v>
      </c>
      <c r="K164" s="105"/>
      <c r="L164" s="105"/>
      <c r="M164" s="105"/>
      <c r="N164" s="104"/>
      <c r="O164" s="104"/>
      <c r="P164" s="104"/>
      <c r="Q164" s="104"/>
      <c r="R164" s="104"/>
      <c r="S164" s="100"/>
      <c r="T164" s="99"/>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row>
    <row r="165" spans="1:174" ht="31.5" x14ac:dyDescent="0.2">
      <c r="A165" s="82" t="s">
        <v>328</v>
      </c>
      <c r="B165" s="17" t="s">
        <v>69</v>
      </c>
      <c r="C165" s="13"/>
      <c r="D165" s="12"/>
      <c r="E165" s="51" t="str">
        <f>IF(C165="","",IF(C165="Yes","Describe how and where WAFs are currently implemented in your environment.","Describe any plans to implement a WAF in your environment."))</f>
        <v/>
      </c>
      <c r="F165" s="34"/>
      <c r="G165" s="34"/>
      <c r="H165" s="68"/>
      <c r="I165" s="71"/>
      <c r="J165" s="69">
        <f t="shared" si="3"/>
        <v>0</v>
      </c>
      <c r="K165" s="105"/>
      <c r="L165" s="105" t="s">
        <v>1161</v>
      </c>
      <c r="M165" s="105"/>
      <c r="N165" s="104" t="s">
        <v>850</v>
      </c>
      <c r="O165" s="104" t="s">
        <v>850</v>
      </c>
      <c r="P165" s="104" t="s">
        <v>851</v>
      </c>
      <c r="Q165" s="104" t="s">
        <v>1158</v>
      </c>
      <c r="R165" s="106" t="s">
        <v>852</v>
      </c>
      <c r="S165" s="100"/>
      <c r="T165" s="99" t="s">
        <v>716</v>
      </c>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row>
    <row r="166" spans="1:174" ht="47.25" x14ac:dyDescent="0.2">
      <c r="A166" s="82" t="s">
        <v>329</v>
      </c>
      <c r="B166" s="17" t="s">
        <v>70</v>
      </c>
      <c r="C166" s="13"/>
      <c r="D166" s="12"/>
      <c r="E166" s="51" t="str">
        <f>IF(C166="","",IF(C166="Yes","Describe how and where SPI firewalls are currently implemented in your environment.","State any plans to implement SPI firewalls in your environment."))</f>
        <v/>
      </c>
      <c r="F166" s="34"/>
      <c r="G166" s="34"/>
      <c r="H166" s="68"/>
      <c r="I166" s="71"/>
      <c r="J166" s="69">
        <f t="shared" si="3"/>
        <v>0</v>
      </c>
      <c r="K166" s="105"/>
      <c r="L166" s="105" t="s">
        <v>1161</v>
      </c>
      <c r="M166" s="105"/>
      <c r="N166" s="104" t="s">
        <v>850</v>
      </c>
      <c r="O166" s="104" t="s">
        <v>850</v>
      </c>
      <c r="P166" s="104" t="s">
        <v>851</v>
      </c>
      <c r="Q166" s="104" t="s">
        <v>1158</v>
      </c>
      <c r="R166" s="106" t="s">
        <v>853</v>
      </c>
      <c r="S166" s="100" t="s">
        <v>854</v>
      </c>
      <c r="T166" s="99" t="s">
        <v>716</v>
      </c>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row>
    <row r="167" spans="1:174" ht="18" x14ac:dyDescent="0.2">
      <c r="A167" s="82" t="s">
        <v>193</v>
      </c>
      <c r="B167" s="17" t="s">
        <v>498</v>
      </c>
      <c r="C167" s="12"/>
      <c r="D167" s="12"/>
      <c r="E167" s="51"/>
      <c r="F167" s="34"/>
      <c r="G167" s="34"/>
      <c r="H167" s="68"/>
      <c r="I167" s="71"/>
      <c r="J167" s="69">
        <f t="shared" si="3"/>
        <v>0</v>
      </c>
      <c r="K167" s="105"/>
      <c r="L167" s="105"/>
      <c r="M167" s="105"/>
      <c r="N167" s="104"/>
      <c r="O167" s="104"/>
      <c r="P167" s="104"/>
      <c r="Q167" s="104"/>
      <c r="R167" s="104"/>
      <c r="S167" s="100"/>
      <c r="T167" s="99"/>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row>
    <row r="168" spans="1:174" ht="47.25" x14ac:dyDescent="0.2">
      <c r="A168" s="82" t="s">
        <v>194</v>
      </c>
      <c r="B168" s="17" t="s">
        <v>72</v>
      </c>
      <c r="C168" s="13"/>
      <c r="D168" s="12"/>
      <c r="E168" s="51" t="str">
        <f>IF(C168="","",IF(C168="Yes","","Please describe for which network(s) and/or tool(s) audit logs are not available."))</f>
        <v/>
      </c>
      <c r="F168" s="34"/>
      <c r="G168" s="34"/>
      <c r="H168" s="68"/>
      <c r="I168" s="71"/>
      <c r="J168" s="69">
        <f t="shared" si="3"/>
        <v>0</v>
      </c>
      <c r="K168" s="105"/>
      <c r="L168" s="105"/>
      <c r="M168" s="105"/>
      <c r="N168" s="104" t="s">
        <v>855</v>
      </c>
      <c r="O168" s="104" t="s">
        <v>855</v>
      </c>
      <c r="P168" s="104" t="s">
        <v>856</v>
      </c>
      <c r="Q168" s="104" t="s">
        <v>1159</v>
      </c>
      <c r="R168" s="106" t="s">
        <v>857</v>
      </c>
      <c r="S168" s="100" t="s">
        <v>736</v>
      </c>
      <c r="T168" s="109" t="s">
        <v>858</v>
      </c>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row>
    <row r="169" spans="1:174" ht="31.5" x14ac:dyDescent="0.2">
      <c r="A169" s="82" t="s">
        <v>195</v>
      </c>
      <c r="B169" s="17" t="s">
        <v>533</v>
      </c>
      <c r="C169" s="13"/>
      <c r="D169" s="12"/>
      <c r="E169" s="51" t="str">
        <f>IF(C169="","",IF(C169="Yes","Please describe how the development environments/systems are isolated.","Describe any plans to segregate development environments/systems from other networks."))</f>
        <v/>
      </c>
      <c r="F169" s="34"/>
      <c r="G169" s="34"/>
      <c r="H169" s="68"/>
      <c r="I169" s="71"/>
      <c r="J169" s="69">
        <f t="shared" si="3"/>
        <v>0</v>
      </c>
      <c r="K169" s="105"/>
      <c r="L169" s="105"/>
      <c r="M169" s="105" t="s">
        <v>1161</v>
      </c>
      <c r="N169" s="106" t="s">
        <v>859</v>
      </c>
      <c r="O169" s="106" t="s">
        <v>859</v>
      </c>
      <c r="P169" s="104"/>
      <c r="Q169" s="104" t="s">
        <v>1158</v>
      </c>
      <c r="R169" s="106" t="s">
        <v>860</v>
      </c>
      <c r="S169" s="100" t="s">
        <v>861</v>
      </c>
      <c r="T169" s="99" t="s">
        <v>672</v>
      </c>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row>
    <row r="170" spans="1:174" ht="42.75" x14ac:dyDescent="0.2">
      <c r="A170" s="82" t="s">
        <v>196</v>
      </c>
      <c r="B170" s="17" t="s">
        <v>136</v>
      </c>
      <c r="C170" s="12"/>
      <c r="D170" s="12"/>
      <c r="E170" s="51"/>
      <c r="F170" s="34"/>
      <c r="G170" s="34"/>
      <c r="H170" s="68"/>
      <c r="I170" s="71"/>
      <c r="J170" s="69">
        <f t="shared" si="3"/>
        <v>0</v>
      </c>
      <c r="K170" s="105"/>
      <c r="L170" s="105"/>
      <c r="M170" s="105"/>
      <c r="N170" s="104"/>
      <c r="O170" s="104"/>
      <c r="P170" s="104"/>
      <c r="Q170" s="104"/>
      <c r="R170" s="104"/>
      <c r="S170" s="100"/>
      <c r="T170" s="99"/>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row>
    <row r="171" spans="1:174" ht="18" x14ac:dyDescent="0.2">
      <c r="A171" s="82" t="s">
        <v>197</v>
      </c>
      <c r="B171" s="17" t="s">
        <v>65</v>
      </c>
      <c r="C171" s="13"/>
      <c r="D171" s="12"/>
      <c r="E171" s="51" t="str">
        <f>IF(C171="","",IF(C171="Yes","Please provide a copy of the SOC 2 Type 2 audit report.","Describe any plans to conduct a SOC 2 Type 2 audit."))</f>
        <v/>
      </c>
      <c r="F171" s="34"/>
      <c r="G171" s="34"/>
      <c r="H171" s="68"/>
      <c r="I171" s="71"/>
      <c r="J171" s="69">
        <f t="shared" si="3"/>
        <v>0</v>
      </c>
      <c r="K171" s="105"/>
      <c r="L171" s="105"/>
      <c r="M171" s="105"/>
      <c r="N171" s="104"/>
      <c r="O171" s="104"/>
      <c r="P171" s="104"/>
      <c r="Q171" s="104"/>
      <c r="R171" s="104"/>
      <c r="S171" s="100"/>
      <c r="T171" s="99"/>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row>
    <row r="172" spans="1:174" ht="18" x14ac:dyDescent="0.2">
      <c r="A172" s="82" t="s">
        <v>198</v>
      </c>
      <c r="B172" s="17" t="s">
        <v>66</v>
      </c>
      <c r="C172" s="13"/>
      <c r="D172" s="12"/>
      <c r="E172" s="51"/>
      <c r="F172" s="34"/>
      <c r="G172" s="34"/>
      <c r="H172" s="68"/>
      <c r="I172" s="71"/>
      <c r="J172" s="69">
        <f t="shared" si="3"/>
        <v>0</v>
      </c>
      <c r="K172" s="105"/>
      <c r="L172" s="105"/>
      <c r="M172" s="105"/>
      <c r="N172" s="104"/>
      <c r="O172" s="104"/>
      <c r="P172" s="104"/>
      <c r="Q172" s="104"/>
      <c r="R172" s="104"/>
      <c r="S172" s="100"/>
      <c r="T172" s="99"/>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row>
    <row r="173" spans="1:174" ht="31.5" x14ac:dyDescent="0.2">
      <c r="A173" s="82" t="s">
        <v>199</v>
      </c>
      <c r="B173" s="17" t="s">
        <v>67</v>
      </c>
      <c r="C173" s="13"/>
      <c r="D173" s="12"/>
      <c r="E173" s="51" t="str">
        <f>IF(C173="","",IF(C173="Yes","","Please describe how your servers are physically separated/isolated from those of other customers."))</f>
        <v/>
      </c>
      <c r="F173" s="34"/>
      <c r="G173" s="34"/>
      <c r="H173" s="68"/>
      <c r="I173" s="71"/>
      <c r="J173" s="69">
        <f t="shared" si="3"/>
        <v>0</v>
      </c>
      <c r="K173" s="105"/>
      <c r="L173" s="105"/>
      <c r="M173" s="105"/>
      <c r="N173" s="104" t="s">
        <v>835</v>
      </c>
      <c r="O173" s="106" t="s">
        <v>862</v>
      </c>
      <c r="P173" s="104" t="s">
        <v>836</v>
      </c>
      <c r="Q173" s="104" t="s">
        <v>1133</v>
      </c>
      <c r="R173" s="104" t="s">
        <v>627</v>
      </c>
      <c r="S173" s="100" t="s">
        <v>628</v>
      </c>
      <c r="T173" s="99" t="s">
        <v>841</v>
      </c>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row>
    <row r="174" spans="1:174" ht="31.5" x14ac:dyDescent="0.2">
      <c r="A174" s="82" t="s">
        <v>200</v>
      </c>
      <c r="B174" s="17" t="s">
        <v>584</v>
      </c>
      <c r="C174" s="13"/>
      <c r="D174" s="12"/>
      <c r="E174" s="51"/>
      <c r="F174" s="34"/>
      <c r="G174" s="34"/>
      <c r="H174" s="68"/>
      <c r="I174" s="71"/>
      <c r="J174" s="69">
        <f t="shared" si="3"/>
        <v>0</v>
      </c>
      <c r="K174" s="105"/>
      <c r="L174" s="105"/>
      <c r="M174" s="105"/>
      <c r="N174" s="104"/>
      <c r="O174" s="104" t="s">
        <v>863</v>
      </c>
      <c r="P174" s="104"/>
      <c r="Q174" s="104" t="s">
        <v>1157</v>
      </c>
      <c r="R174" s="106" t="s">
        <v>864</v>
      </c>
      <c r="S174" s="100" t="s">
        <v>865</v>
      </c>
      <c r="T174" s="99" t="s">
        <v>841</v>
      </c>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row>
    <row r="175" spans="1:174" ht="31.5" x14ac:dyDescent="0.2">
      <c r="A175" s="82" t="s">
        <v>201</v>
      </c>
      <c r="B175" s="17" t="s">
        <v>1084</v>
      </c>
      <c r="C175" s="13"/>
      <c r="D175" s="12"/>
      <c r="E175" s="51"/>
      <c r="F175" s="34"/>
      <c r="G175" s="34"/>
      <c r="H175" s="68"/>
      <c r="I175" s="71"/>
      <c r="J175" s="69">
        <f t="shared" si="3"/>
        <v>0</v>
      </c>
      <c r="K175" s="105"/>
      <c r="L175" s="105"/>
      <c r="M175" s="105"/>
      <c r="N175" s="104"/>
      <c r="O175" s="106" t="s">
        <v>866</v>
      </c>
      <c r="P175" s="104"/>
      <c r="Q175" s="104"/>
      <c r="R175" s="106" t="s">
        <v>867</v>
      </c>
      <c r="S175" s="100" t="s">
        <v>865</v>
      </c>
      <c r="T175" s="99" t="s">
        <v>841</v>
      </c>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row>
    <row r="176" spans="1:174" ht="28.5" x14ac:dyDescent="0.2">
      <c r="A176" s="82" t="s">
        <v>202</v>
      </c>
      <c r="B176" s="17" t="s">
        <v>1085</v>
      </c>
      <c r="C176" s="12"/>
      <c r="D176" s="12"/>
      <c r="E176" s="51"/>
      <c r="F176" s="34"/>
      <c r="G176" s="34"/>
      <c r="H176" s="68"/>
      <c r="I176" s="71"/>
      <c r="J176" s="69">
        <f t="shared" si="3"/>
        <v>0</v>
      </c>
      <c r="K176" s="105"/>
      <c r="L176" s="105"/>
      <c r="M176" s="105"/>
      <c r="N176" s="104"/>
      <c r="O176" s="104"/>
      <c r="P176" s="104"/>
      <c r="Q176" s="104"/>
      <c r="R176" s="104"/>
      <c r="S176" s="100"/>
      <c r="T176" s="99"/>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row>
    <row r="177" spans="1:174" ht="46.5" customHeight="1" x14ac:dyDescent="0.2">
      <c r="A177" s="82" t="s">
        <v>203</v>
      </c>
      <c r="B177" s="17" t="s">
        <v>1086</v>
      </c>
      <c r="C177" s="13"/>
      <c r="D177" s="12"/>
      <c r="E177" s="51"/>
      <c r="F177" s="34"/>
      <c r="G177" s="34"/>
      <c r="H177" s="68"/>
      <c r="I177" s="71"/>
      <c r="J177" s="69">
        <f t="shared" si="3"/>
        <v>0</v>
      </c>
      <c r="K177" s="105"/>
      <c r="L177" s="105"/>
      <c r="M177" s="105"/>
      <c r="N177" s="104"/>
      <c r="O177" s="104"/>
      <c r="P177" s="104"/>
      <c r="Q177" s="104"/>
      <c r="R177" s="104" t="s">
        <v>868</v>
      </c>
      <c r="S177" s="100"/>
      <c r="T177" s="99"/>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row>
    <row r="178" spans="1:174" ht="18" x14ac:dyDescent="0.2">
      <c r="A178" s="82" t="s">
        <v>204</v>
      </c>
      <c r="B178" s="17" t="s">
        <v>77</v>
      </c>
      <c r="C178" s="13"/>
      <c r="D178" s="12"/>
      <c r="E178" s="51"/>
      <c r="F178" s="34"/>
      <c r="G178" s="34"/>
      <c r="H178" s="68"/>
      <c r="I178" s="71"/>
      <c r="J178" s="69">
        <f t="shared" si="3"/>
        <v>0</v>
      </c>
      <c r="K178" s="105"/>
      <c r="L178" s="105"/>
      <c r="M178" s="105"/>
      <c r="N178" s="104"/>
      <c r="O178" s="104"/>
      <c r="P178" s="104"/>
      <c r="Q178" s="104"/>
      <c r="R178" s="104"/>
      <c r="S178" s="100"/>
      <c r="T178" s="99"/>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row>
    <row r="179" spans="1:174" ht="31.5" x14ac:dyDescent="0.2">
      <c r="A179" s="82" t="s">
        <v>205</v>
      </c>
      <c r="B179" s="17" t="s">
        <v>100</v>
      </c>
      <c r="C179" s="13"/>
      <c r="D179" s="12"/>
      <c r="E179" s="51"/>
      <c r="F179" s="34"/>
      <c r="G179" s="34"/>
      <c r="H179" s="68"/>
      <c r="I179" s="71"/>
      <c r="J179" s="69">
        <f t="shared" si="3"/>
        <v>0</v>
      </c>
      <c r="K179" s="105"/>
      <c r="L179" s="105"/>
      <c r="M179" s="105"/>
      <c r="N179" s="104" t="s">
        <v>869</v>
      </c>
      <c r="O179" s="104" t="s">
        <v>869</v>
      </c>
      <c r="P179" s="106" t="s">
        <v>870</v>
      </c>
      <c r="Q179" s="104" t="s">
        <v>1156</v>
      </c>
      <c r="R179" s="106" t="s">
        <v>871</v>
      </c>
      <c r="S179" s="100"/>
      <c r="T179" s="99" t="s">
        <v>872</v>
      </c>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row>
    <row r="180" spans="1:174" ht="47.25" x14ac:dyDescent="0.2">
      <c r="A180" s="82" t="s">
        <v>206</v>
      </c>
      <c r="B180" s="17" t="s">
        <v>101</v>
      </c>
      <c r="C180" s="13"/>
      <c r="D180" s="12"/>
      <c r="E180" s="51"/>
      <c r="F180" s="34"/>
      <c r="G180" s="34"/>
      <c r="H180" s="68"/>
      <c r="I180" s="71"/>
      <c r="J180" s="69">
        <f t="shared" si="3"/>
        <v>0</v>
      </c>
      <c r="K180" s="105"/>
      <c r="L180" s="105"/>
      <c r="M180" s="105"/>
      <c r="N180" s="104" t="s">
        <v>842</v>
      </c>
      <c r="O180" s="106" t="s">
        <v>873</v>
      </c>
      <c r="P180" s="104" t="s">
        <v>843</v>
      </c>
      <c r="Q180" s="104" t="s">
        <v>1148</v>
      </c>
      <c r="R180" s="106" t="s">
        <v>874</v>
      </c>
      <c r="S180" s="100" t="s">
        <v>845</v>
      </c>
      <c r="T180" s="109" t="s">
        <v>875</v>
      </c>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row>
    <row r="181" spans="1:174" ht="47.25" x14ac:dyDescent="0.2">
      <c r="A181" s="82" t="s">
        <v>252</v>
      </c>
      <c r="B181" s="17" t="s">
        <v>245</v>
      </c>
      <c r="C181" s="13"/>
      <c r="D181" s="12"/>
      <c r="E181" s="51"/>
      <c r="F181" s="34"/>
      <c r="G181" s="34"/>
      <c r="H181" s="68"/>
      <c r="I181" s="71"/>
      <c r="J181" s="69">
        <f t="shared" si="3"/>
        <v>0</v>
      </c>
      <c r="K181" s="105"/>
      <c r="L181" s="105"/>
      <c r="M181" s="105"/>
      <c r="N181" s="104" t="s">
        <v>876</v>
      </c>
      <c r="O181" s="104" t="s">
        <v>876</v>
      </c>
      <c r="P181" s="104"/>
      <c r="Q181" s="104" t="s">
        <v>1155</v>
      </c>
      <c r="R181" s="106" t="s">
        <v>877</v>
      </c>
      <c r="S181" s="108" t="s">
        <v>878</v>
      </c>
      <c r="T181" s="99" t="s">
        <v>716</v>
      </c>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row>
    <row r="182" spans="1:174" ht="108" x14ac:dyDescent="0.2">
      <c r="A182" s="151" t="s">
        <v>146</v>
      </c>
      <c r="B182" s="151"/>
      <c r="C182" s="122" t="str">
        <f>"Response for " &amp; C45</f>
        <v>Response for Supplier Systems</v>
      </c>
      <c r="D182" s="2" t="s">
        <v>17</v>
      </c>
      <c r="E182" s="2" t="s">
        <v>18</v>
      </c>
      <c r="F182" s="2" t="s">
        <v>338</v>
      </c>
      <c r="G182" s="2" t="s">
        <v>364</v>
      </c>
      <c r="H182" s="142" t="s">
        <v>564</v>
      </c>
      <c r="I182" s="143"/>
      <c r="J182" s="67">
        <f>SUM(J183:J207)</f>
        <v>0</v>
      </c>
      <c r="K182" s="86" t="s">
        <v>600</v>
      </c>
      <c r="L182" s="86" t="s">
        <v>601</v>
      </c>
      <c r="M182" s="86" t="s">
        <v>602</v>
      </c>
      <c r="N182" s="87" t="s">
        <v>603</v>
      </c>
      <c r="O182" s="87" t="s">
        <v>604</v>
      </c>
      <c r="P182" s="87" t="s">
        <v>605</v>
      </c>
      <c r="Q182" s="88" t="s">
        <v>1110</v>
      </c>
      <c r="R182" s="89" t="s">
        <v>608</v>
      </c>
      <c r="S182" s="87" t="s">
        <v>611</v>
      </c>
      <c r="T182" s="87" t="s">
        <v>615</v>
      </c>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row>
    <row r="183" spans="1:174" ht="141.75" x14ac:dyDescent="0.2">
      <c r="A183" s="82" t="s">
        <v>47</v>
      </c>
      <c r="B183" s="17" t="s">
        <v>1044</v>
      </c>
      <c r="C183" s="13"/>
      <c r="D183" s="11"/>
      <c r="E183" s="51" t="str">
        <f>IF(C183="","",IF(C183="Yes","Please state the algorithm/method used to achieve encryption in transit.","Please describe plans to encrypt data-in-transit."))</f>
        <v/>
      </c>
      <c r="F183" s="34">
        <v>18</v>
      </c>
      <c r="G183" s="34" t="s">
        <v>426</v>
      </c>
      <c r="H183" s="68"/>
      <c r="I183" s="71"/>
      <c r="J183" s="69">
        <f t="shared" si="3"/>
        <v>0</v>
      </c>
      <c r="K183" s="105"/>
      <c r="L183" s="105" t="s">
        <v>1135</v>
      </c>
      <c r="M183" s="105"/>
      <c r="N183" s="104" t="s">
        <v>703</v>
      </c>
      <c r="O183" s="104" t="s">
        <v>704</v>
      </c>
      <c r="P183" s="106" t="s">
        <v>879</v>
      </c>
      <c r="Q183" s="106" t="s">
        <v>1153</v>
      </c>
      <c r="R183" s="106" t="s">
        <v>880</v>
      </c>
      <c r="S183" s="108" t="s">
        <v>881</v>
      </c>
      <c r="T183" s="109" t="s">
        <v>729</v>
      </c>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row>
    <row r="184" spans="1:174" ht="94.5" x14ac:dyDescent="0.2">
      <c r="A184" s="82" t="s">
        <v>207</v>
      </c>
      <c r="B184" s="17" t="s">
        <v>499</v>
      </c>
      <c r="C184" s="13"/>
      <c r="D184" s="11"/>
      <c r="E184" s="51"/>
      <c r="F184" s="34">
        <v>44</v>
      </c>
      <c r="G184" s="34" t="s">
        <v>427</v>
      </c>
      <c r="H184" s="68"/>
      <c r="I184" s="71"/>
      <c r="J184" s="69">
        <f t="shared" si="3"/>
        <v>0</v>
      </c>
      <c r="K184" s="105"/>
      <c r="L184" s="105"/>
      <c r="M184" s="105" t="s">
        <v>1136</v>
      </c>
      <c r="N184" s="104" t="s">
        <v>724</v>
      </c>
      <c r="O184" s="104" t="s">
        <v>724</v>
      </c>
      <c r="P184" s="104" t="s">
        <v>882</v>
      </c>
      <c r="Q184" s="104" t="s">
        <v>1128</v>
      </c>
      <c r="R184" s="106" t="s">
        <v>883</v>
      </c>
      <c r="S184" s="108" t="s">
        <v>884</v>
      </c>
      <c r="T184" s="109" t="s">
        <v>729</v>
      </c>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row>
    <row r="185" spans="1:174" ht="126" x14ac:dyDescent="0.2">
      <c r="A185" s="82" t="s">
        <v>48</v>
      </c>
      <c r="B185" s="17" t="s">
        <v>473</v>
      </c>
      <c r="C185" s="13"/>
      <c r="D185" s="11"/>
      <c r="E185" s="51" t="str">
        <f>IF(C185="","",IF(C185="Yes","Please state the algorithm/method used to achieve encryption in transit.","Please describe plans to encrypt data-in-transit."))</f>
        <v/>
      </c>
      <c r="F185" s="34">
        <v>42</v>
      </c>
      <c r="G185" s="34" t="s">
        <v>428</v>
      </c>
      <c r="H185" s="68"/>
      <c r="I185" s="71"/>
      <c r="J185" s="69">
        <f t="shared" si="3"/>
        <v>0</v>
      </c>
      <c r="K185" s="105"/>
      <c r="L185" s="107" t="s">
        <v>1154</v>
      </c>
      <c r="M185" s="105"/>
      <c r="N185" s="106" t="s">
        <v>885</v>
      </c>
      <c r="O185" s="106" t="s">
        <v>886</v>
      </c>
      <c r="P185" s="106" t="s">
        <v>887</v>
      </c>
      <c r="Q185" s="104" t="s">
        <v>1134</v>
      </c>
      <c r="R185" s="106" t="s">
        <v>888</v>
      </c>
      <c r="S185" s="100" t="s">
        <v>728</v>
      </c>
      <c r="T185" s="109" t="s">
        <v>729</v>
      </c>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row>
    <row r="186" spans="1:174" ht="78.75" x14ac:dyDescent="0.2">
      <c r="A186" s="82" t="s">
        <v>49</v>
      </c>
      <c r="B186" s="17" t="s">
        <v>1087</v>
      </c>
      <c r="C186" s="13"/>
      <c r="D186" s="11"/>
      <c r="E186" s="51" t="str">
        <f>IF(C186="","",IF(C186="Yes","Please state the algorithm/method used to achieve encryption at rest.","Please describe plans to encrypt data-at-rest."))</f>
        <v/>
      </c>
      <c r="F186" s="34"/>
      <c r="G186" s="34" t="s">
        <v>429</v>
      </c>
      <c r="H186" s="68"/>
      <c r="I186" s="71"/>
      <c r="J186" s="69">
        <f t="shared" si="3"/>
        <v>0</v>
      </c>
      <c r="K186" s="105"/>
      <c r="L186" s="105"/>
      <c r="M186" s="105"/>
      <c r="N186" s="104" t="s">
        <v>724</v>
      </c>
      <c r="O186" s="104" t="s">
        <v>724</v>
      </c>
      <c r="P186" s="106" t="s">
        <v>833</v>
      </c>
      <c r="Q186" s="104" t="s">
        <v>1128</v>
      </c>
      <c r="R186" s="106" t="s">
        <v>889</v>
      </c>
      <c r="S186" s="100" t="s">
        <v>728</v>
      </c>
      <c r="T186" s="99" t="s">
        <v>690</v>
      </c>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row>
    <row r="187" spans="1:174" ht="63" x14ac:dyDescent="0.2">
      <c r="A187" s="82" t="s">
        <v>50</v>
      </c>
      <c r="B187" s="17" t="s">
        <v>63</v>
      </c>
      <c r="C187" s="13"/>
      <c r="D187" s="11"/>
      <c r="E187" s="51"/>
      <c r="F187" s="34"/>
      <c r="G187" s="34"/>
      <c r="H187" s="68"/>
      <c r="I187" s="71"/>
      <c r="J187" s="69">
        <f t="shared" si="3"/>
        <v>0</v>
      </c>
      <c r="K187" s="105"/>
      <c r="L187" s="105"/>
      <c r="M187" s="105"/>
      <c r="N187" s="104"/>
      <c r="O187" s="104" t="s">
        <v>846</v>
      </c>
      <c r="P187" s="104"/>
      <c r="Q187" s="104" t="s">
        <v>1144</v>
      </c>
      <c r="R187" s="106" t="s">
        <v>890</v>
      </c>
      <c r="S187" s="100" t="s">
        <v>849</v>
      </c>
      <c r="T187" s="99" t="s">
        <v>841</v>
      </c>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row>
    <row r="188" spans="1:174" ht="63" x14ac:dyDescent="0.2">
      <c r="A188" s="82" t="s">
        <v>51</v>
      </c>
      <c r="B188" s="17" t="s">
        <v>500</v>
      </c>
      <c r="C188" s="13"/>
      <c r="D188" s="23"/>
      <c r="E188" s="51"/>
      <c r="F188" s="34"/>
      <c r="G188" s="34" t="s">
        <v>430</v>
      </c>
      <c r="H188" s="68"/>
      <c r="I188" s="71"/>
      <c r="J188" s="69">
        <f t="shared" si="3"/>
        <v>0</v>
      </c>
      <c r="K188" s="105"/>
      <c r="L188" s="105"/>
      <c r="M188" s="105"/>
      <c r="N188" s="104"/>
      <c r="O188" s="104" t="s">
        <v>891</v>
      </c>
      <c r="P188" s="104" t="s">
        <v>892</v>
      </c>
      <c r="Q188" s="104"/>
      <c r="R188" s="106" t="s">
        <v>893</v>
      </c>
      <c r="S188" s="100" t="s">
        <v>728</v>
      </c>
      <c r="T188" s="99" t="s">
        <v>690</v>
      </c>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row>
    <row r="189" spans="1:174" ht="126" x14ac:dyDescent="0.2">
      <c r="A189" s="82" t="s">
        <v>52</v>
      </c>
      <c r="B189" s="17" t="s">
        <v>1088</v>
      </c>
      <c r="C189" s="13"/>
      <c r="D189" s="23"/>
      <c r="E189" s="51" t="str">
        <f>IF(C189="","",IF(C189="Yes","Please describe or provide a reference to this program.",""))</f>
        <v/>
      </c>
      <c r="F189" s="34">
        <v>38</v>
      </c>
      <c r="G189" s="34" t="s">
        <v>431</v>
      </c>
      <c r="H189" s="68"/>
      <c r="I189" s="71"/>
      <c r="J189" s="69">
        <f t="shared" si="3"/>
        <v>0</v>
      </c>
      <c r="K189" s="105"/>
      <c r="L189" s="105"/>
      <c r="M189" s="105"/>
      <c r="N189" s="106" t="s">
        <v>894</v>
      </c>
      <c r="O189" s="106" t="s">
        <v>894</v>
      </c>
      <c r="P189" s="106" t="s">
        <v>895</v>
      </c>
      <c r="Q189" s="106" t="s">
        <v>1150</v>
      </c>
      <c r="R189" s="106" t="s">
        <v>896</v>
      </c>
      <c r="S189" s="108" t="s">
        <v>897</v>
      </c>
      <c r="T189" s="109" t="s">
        <v>898</v>
      </c>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row>
    <row r="190" spans="1:174" ht="63" x14ac:dyDescent="0.2">
      <c r="A190" s="82" t="s">
        <v>53</v>
      </c>
      <c r="B190" s="17" t="s">
        <v>1089</v>
      </c>
      <c r="C190" s="13"/>
      <c r="D190" s="23"/>
      <c r="E190" s="51" t="str">
        <f>IF(C190="","",IF(C190="Yes","","Please identify technologies that are not covered by your program, and how data is secured as it pertains to these technologies."))</f>
        <v/>
      </c>
      <c r="F190" s="34">
        <v>41</v>
      </c>
      <c r="G190" s="34" t="s">
        <v>432</v>
      </c>
      <c r="H190" s="68"/>
      <c r="I190" s="71"/>
      <c r="J190" s="69">
        <f t="shared" si="3"/>
        <v>0</v>
      </c>
      <c r="K190" s="105"/>
      <c r="L190" s="105"/>
      <c r="M190" s="105"/>
      <c r="N190" s="104" t="s">
        <v>899</v>
      </c>
      <c r="O190" s="104" t="s">
        <v>899</v>
      </c>
      <c r="P190" s="106" t="s">
        <v>895</v>
      </c>
      <c r="Q190" s="104" t="s">
        <v>1149</v>
      </c>
      <c r="R190" s="104" t="s">
        <v>644</v>
      </c>
      <c r="S190" s="108" t="s">
        <v>900</v>
      </c>
      <c r="T190" s="109" t="s">
        <v>901</v>
      </c>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row>
    <row r="191" spans="1:174" ht="110.25" x14ac:dyDescent="0.2">
      <c r="A191" s="82" t="s">
        <v>54</v>
      </c>
      <c r="B191" s="17" t="s">
        <v>1090</v>
      </c>
      <c r="C191" s="13"/>
      <c r="D191" s="23"/>
      <c r="E191" s="51"/>
      <c r="F191" s="34">
        <v>43</v>
      </c>
      <c r="G191" s="34" t="s">
        <v>433</v>
      </c>
      <c r="H191" s="68"/>
      <c r="I191" s="71"/>
      <c r="J191" s="69">
        <f t="shared" si="3"/>
        <v>0</v>
      </c>
      <c r="K191" s="105"/>
      <c r="L191" s="107" t="s">
        <v>1151</v>
      </c>
      <c r="M191" s="105" t="s">
        <v>1152</v>
      </c>
      <c r="N191" s="106" t="s">
        <v>657</v>
      </c>
      <c r="O191" s="106" t="s">
        <v>657</v>
      </c>
      <c r="P191" s="104" t="s">
        <v>902</v>
      </c>
      <c r="Q191" s="104" t="s">
        <v>1148</v>
      </c>
      <c r="R191" s="106" t="s">
        <v>903</v>
      </c>
      <c r="S191" s="108" t="s">
        <v>697</v>
      </c>
      <c r="T191" s="109" t="s">
        <v>904</v>
      </c>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row>
    <row r="192" spans="1:174" ht="110.25" x14ac:dyDescent="0.2">
      <c r="A192" s="82" t="s">
        <v>55</v>
      </c>
      <c r="B192" s="17" t="s">
        <v>297</v>
      </c>
      <c r="C192" s="13"/>
      <c r="D192" s="23"/>
      <c r="E192" s="51" t="str">
        <f>IF(C192="","",IF(C192="Yes","Please describe your data loss prevention program and platforms supported.","State any plans to implement data loss prevention capabilities."))</f>
        <v/>
      </c>
      <c r="F192" s="34">
        <v>45</v>
      </c>
      <c r="G192" s="34" t="s">
        <v>434</v>
      </c>
      <c r="H192" s="68"/>
      <c r="I192" s="71"/>
      <c r="J192" s="69">
        <f t="shared" si="3"/>
        <v>0</v>
      </c>
      <c r="K192" s="105"/>
      <c r="L192" s="105"/>
      <c r="M192" s="105"/>
      <c r="N192" s="106" t="s">
        <v>905</v>
      </c>
      <c r="O192" s="106" t="s">
        <v>906</v>
      </c>
      <c r="P192" s="104" t="s">
        <v>847</v>
      </c>
      <c r="Q192" s="106" t="s">
        <v>1147</v>
      </c>
      <c r="R192" s="106" t="s">
        <v>907</v>
      </c>
      <c r="S192" s="108" t="s">
        <v>908</v>
      </c>
      <c r="T192" s="99" t="s">
        <v>872</v>
      </c>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row>
    <row r="193" spans="1:174" ht="47.25" x14ac:dyDescent="0.2">
      <c r="A193" s="82" t="s">
        <v>208</v>
      </c>
      <c r="B193" s="17" t="s">
        <v>303</v>
      </c>
      <c r="C193" s="13"/>
      <c r="D193" s="23"/>
      <c r="E193" s="51" t="str">
        <f>IF(C193="","",IF(C193="Yes","Please describe the process(es) and/or control(s).",""))</f>
        <v/>
      </c>
      <c r="F193" s="34">
        <v>52</v>
      </c>
      <c r="G193" s="34" t="s">
        <v>435</v>
      </c>
      <c r="H193" s="68"/>
      <c r="I193" s="71"/>
      <c r="J193" s="69">
        <f t="shared" si="3"/>
        <v>0</v>
      </c>
      <c r="K193" s="105"/>
      <c r="L193" s="105" t="s">
        <v>1135</v>
      </c>
      <c r="M193" s="105"/>
      <c r="N193" s="104" t="s">
        <v>909</v>
      </c>
      <c r="O193" s="104" t="s">
        <v>909</v>
      </c>
      <c r="P193" s="104" t="s">
        <v>910</v>
      </c>
      <c r="Q193" s="106" t="s">
        <v>1146</v>
      </c>
      <c r="R193" s="106" t="s">
        <v>911</v>
      </c>
      <c r="S193" s="108" t="s">
        <v>912</v>
      </c>
      <c r="T193" s="109" t="s">
        <v>913</v>
      </c>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row>
    <row r="194" spans="1:174" ht="18" x14ac:dyDescent="0.2">
      <c r="A194" s="82" t="s">
        <v>209</v>
      </c>
      <c r="B194" s="17" t="s">
        <v>463</v>
      </c>
      <c r="C194" s="13"/>
      <c r="D194" s="18"/>
      <c r="E194" s="51" t="str">
        <f>IF(C194="","",IF(C194="Yes","Describe the on-site staff capabilities.","State any plans to staff data centers 24x7x365."))</f>
        <v/>
      </c>
      <c r="F194" s="34"/>
      <c r="G194" s="34"/>
      <c r="H194" s="68"/>
      <c r="I194" s="71"/>
      <c r="J194" s="69">
        <f t="shared" si="3"/>
        <v>0</v>
      </c>
      <c r="K194" s="105"/>
      <c r="L194" s="105"/>
      <c r="M194" s="105"/>
      <c r="N194" s="104" t="s">
        <v>835</v>
      </c>
      <c r="O194" s="104" t="s">
        <v>835</v>
      </c>
      <c r="P194" s="104"/>
      <c r="Q194" s="104" t="s">
        <v>1121</v>
      </c>
      <c r="R194" s="104" t="s">
        <v>914</v>
      </c>
      <c r="S194" s="100" t="s">
        <v>915</v>
      </c>
      <c r="T194" s="99" t="s">
        <v>841</v>
      </c>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row>
    <row r="195" spans="1:174" ht="18" x14ac:dyDescent="0.2">
      <c r="A195" s="82" t="s">
        <v>56</v>
      </c>
      <c r="B195" s="17" t="s">
        <v>1091</v>
      </c>
      <c r="C195" s="13"/>
      <c r="D195" s="23"/>
      <c r="E195" s="51" t="str">
        <f>IF(C195="","",IF(C195="Yes","Please describe why logical segregation of data is not implemented/possible in your environment.","Please describe how data is segregated."))</f>
        <v/>
      </c>
      <c r="F195" s="34"/>
      <c r="G195" s="34"/>
      <c r="H195" s="68"/>
      <c r="I195" s="71"/>
      <c r="J195" s="69">
        <f t="shared" si="3"/>
        <v>0</v>
      </c>
      <c r="K195" s="105"/>
      <c r="L195" s="105"/>
      <c r="M195" s="105"/>
      <c r="N195" s="104"/>
      <c r="O195" s="104"/>
      <c r="P195" s="104"/>
      <c r="Q195" s="104"/>
      <c r="R195" s="104"/>
      <c r="S195" s="100"/>
      <c r="T195" s="99"/>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row>
    <row r="196" spans="1:174" ht="28.5" x14ac:dyDescent="0.2">
      <c r="A196" s="82" t="s">
        <v>58</v>
      </c>
      <c r="B196" s="17" t="s">
        <v>1092</v>
      </c>
      <c r="C196" s="13"/>
      <c r="D196" s="23"/>
      <c r="E196" s="51"/>
      <c r="F196" s="34"/>
      <c r="G196" s="34"/>
      <c r="H196" s="68"/>
      <c r="I196" s="71"/>
      <c r="J196" s="69">
        <f t="shared" si="3"/>
        <v>0</v>
      </c>
      <c r="K196" s="105"/>
      <c r="L196" s="105"/>
      <c r="M196" s="105"/>
      <c r="N196" s="104"/>
      <c r="O196" s="104"/>
      <c r="P196" s="104"/>
      <c r="Q196" s="104"/>
      <c r="R196" s="104"/>
      <c r="S196" s="100"/>
      <c r="T196" s="99"/>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row>
    <row r="197" spans="1:174" ht="47.25" x14ac:dyDescent="0.2">
      <c r="A197" s="82" t="s">
        <v>59</v>
      </c>
      <c r="B197" s="17" t="s">
        <v>126</v>
      </c>
      <c r="C197" s="13"/>
      <c r="D197" s="23"/>
      <c r="E197" s="51" t="str">
        <f>IF(C197="","",IF(C197="Yes","Please state the algorithm/method used to achieve encryption of databases.","Please describe plans to emcrypt databases."))</f>
        <v/>
      </c>
      <c r="F197" s="34"/>
      <c r="G197" s="34"/>
      <c r="H197" s="68"/>
      <c r="I197" s="71"/>
      <c r="J197" s="69">
        <f t="shared" si="3"/>
        <v>0</v>
      </c>
      <c r="K197" s="105"/>
      <c r="L197" s="105"/>
      <c r="M197" s="105"/>
      <c r="N197" s="104" t="s">
        <v>724</v>
      </c>
      <c r="O197" s="104" t="s">
        <v>724</v>
      </c>
      <c r="P197" s="104" t="s">
        <v>882</v>
      </c>
      <c r="Q197" s="104" t="s">
        <v>1128</v>
      </c>
      <c r="R197" s="106" t="s">
        <v>916</v>
      </c>
      <c r="S197" s="100" t="s">
        <v>728</v>
      </c>
      <c r="T197" s="99" t="s">
        <v>690</v>
      </c>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row>
    <row r="198" spans="1:174" ht="47.25" x14ac:dyDescent="0.2">
      <c r="A198" s="82" t="s">
        <v>61</v>
      </c>
      <c r="B198" s="17" t="s">
        <v>1093</v>
      </c>
      <c r="C198" s="13"/>
      <c r="D198" s="23"/>
      <c r="E198" s="51" t="str">
        <f>IF(C198="","",IF(C198="Yes","Please state the algorithm/method used to encrypt unstructured data.","Please describe plans to implement the encryption of unstructured data."))</f>
        <v/>
      </c>
      <c r="F198" s="34"/>
      <c r="G198" s="34"/>
      <c r="H198" s="68"/>
      <c r="I198" s="71"/>
      <c r="J198" s="69">
        <f t="shared" si="3"/>
        <v>0</v>
      </c>
      <c r="K198" s="105"/>
      <c r="L198" s="105"/>
      <c r="M198" s="105"/>
      <c r="N198" s="104" t="s">
        <v>724</v>
      </c>
      <c r="O198" s="104" t="s">
        <v>724</v>
      </c>
      <c r="P198" s="104" t="s">
        <v>882</v>
      </c>
      <c r="Q198" s="104" t="s">
        <v>1128</v>
      </c>
      <c r="R198" s="106" t="s">
        <v>916</v>
      </c>
      <c r="S198" s="100" t="s">
        <v>728</v>
      </c>
      <c r="T198" s="99" t="s">
        <v>690</v>
      </c>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row>
    <row r="199" spans="1:174" ht="47.25" x14ac:dyDescent="0.2">
      <c r="A199" s="82" t="s">
        <v>210</v>
      </c>
      <c r="B199" s="17" t="s">
        <v>134</v>
      </c>
      <c r="C199" s="13"/>
      <c r="D199" s="23"/>
      <c r="E199" s="51" t="str">
        <f>IF(C199="","",IF(C199="Yes","Please describe how workstations and mobile devices are encrypted.","Describe plans to encrypt workstations and/or mobile devices."))</f>
        <v/>
      </c>
      <c r="F199" s="34"/>
      <c r="G199" s="34"/>
      <c r="H199" s="68"/>
      <c r="I199" s="71"/>
      <c r="J199" s="69">
        <f t="shared" si="3"/>
        <v>0</v>
      </c>
      <c r="K199" s="105"/>
      <c r="L199" s="105"/>
      <c r="M199" s="105" t="s">
        <v>1136</v>
      </c>
      <c r="N199" s="104" t="s">
        <v>724</v>
      </c>
      <c r="O199" s="104" t="s">
        <v>724</v>
      </c>
      <c r="P199" s="104" t="s">
        <v>882</v>
      </c>
      <c r="Q199" s="104" t="s">
        <v>1128</v>
      </c>
      <c r="R199" s="106" t="s">
        <v>916</v>
      </c>
      <c r="S199" s="100" t="s">
        <v>728</v>
      </c>
      <c r="T199" s="99" t="s">
        <v>690</v>
      </c>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row>
    <row r="200" spans="1:174" ht="18" x14ac:dyDescent="0.2">
      <c r="A200" s="82" t="s">
        <v>294</v>
      </c>
      <c r="B200" s="17" t="s">
        <v>116</v>
      </c>
      <c r="C200" s="13"/>
      <c r="D200" s="23"/>
      <c r="E200" s="51"/>
      <c r="F200" s="34"/>
      <c r="G200" s="34"/>
      <c r="H200" s="68"/>
      <c r="I200" s="71"/>
      <c r="J200" s="69">
        <f t="shared" si="3"/>
        <v>0</v>
      </c>
      <c r="K200" s="105"/>
      <c r="L200" s="105"/>
      <c r="M200" s="105"/>
      <c r="N200" s="104"/>
      <c r="O200" s="104"/>
      <c r="P200" s="104"/>
      <c r="Q200" s="104"/>
      <c r="R200" s="104"/>
      <c r="S200" s="100"/>
      <c r="T200" s="99"/>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row>
    <row r="201" spans="1:174" ht="47.25" x14ac:dyDescent="0.2">
      <c r="A201" s="82" t="s">
        <v>295</v>
      </c>
      <c r="B201" s="17" t="s">
        <v>585</v>
      </c>
      <c r="C201" s="13"/>
      <c r="D201" s="23"/>
      <c r="E201" s="51" t="str">
        <f>IF(C201="","",IF(C201="Yes","Please state the algorithm/method used to achieve encrypt data over TCP/IP.","Please describe plans to encrypt data over TCP/IP."))</f>
        <v/>
      </c>
      <c r="F201" s="34"/>
      <c r="G201" s="34" t="s">
        <v>429</v>
      </c>
      <c r="H201" s="68"/>
      <c r="I201" s="71"/>
      <c r="J201" s="69">
        <f t="shared" si="3"/>
        <v>0</v>
      </c>
      <c r="K201" s="105"/>
      <c r="L201" s="105" t="s">
        <v>1135</v>
      </c>
      <c r="M201" s="105"/>
      <c r="N201" s="104" t="s">
        <v>622</v>
      </c>
      <c r="O201" s="104" t="s">
        <v>622</v>
      </c>
      <c r="P201" s="106" t="s">
        <v>917</v>
      </c>
      <c r="Q201" s="104" t="s">
        <v>1134</v>
      </c>
      <c r="R201" s="106" t="s">
        <v>918</v>
      </c>
      <c r="S201" s="108" t="s">
        <v>919</v>
      </c>
      <c r="T201" s="99" t="s">
        <v>872</v>
      </c>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row>
    <row r="202" spans="1:174" ht="28.5" x14ac:dyDescent="0.2">
      <c r="A202" s="82" t="s">
        <v>296</v>
      </c>
      <c r="B202" s="17" t="s">
        <v>1094</v>
      </c>
      <c r="C202" s="47"/>
      <c r="D202" s="11"/>
      <c r="E202" s="51" t="s">
        <v>248</v>
      </c>
      <c r="F202" s="34"/>
      <c r="G202" s="34"/>
      <c r="H202" s="68"/>
      <c r="I202" s="71"/>
      <c r="J202" s="69">
        <f t="shared" si="3"/>
        <v>0</v>
      </c>
      <c r="K202" s="105"/>
      <c r="L202" s="105"/>
      <c r="M202" s="105"/>
      <c r="N202" s="104"/>
      <c r="O202" s="104"/>
      <c r="P202" s="104"/>
      <c r="Q202" s="104"/>
      <c r="R202" s="104"/>
      <c r="S202" s="100"/>
      <c r="T202" s="99"/>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row>
    <row r="203" spans="1:174" ht="18" x14ac:dyDescent="0.2">
      <c r="A203" s="82" t="s">
        <v>302</v>
      </c>
      <c r="B203" s="17" t="s">
        <v>1095</v>
      </c>
      <c r="C203" s="47"/>
      <c r="D203" s="11"/>
      <c r="E203" s="123" t="str">
        <f>IF(C203="","",IF(C203="Yes","Please list all cloud providers that will host entity data.",""))</f>
        <v/>
      </c>
      <c r="F203" s="34"/>
      <c r="G203" s="34"/>
      <c r="H203" s="68"/>
      <c r="I203" s="71"/>
      <c r="J203" s="69">
        <f t="shared" si="3"/>
        <v>0</v>
      </c>
      <c r="K203" s="105"/>
      <c r="L203" s="105"/>
      <c r="M203" s="105"/>
      <c r="N203" s="104"/>
      <c r="O203" s="104"/>
      <c r="P203" s="104"/>
      <c r="Q203" s="104"/>
      <c r="R203" s="104"/>
      <c r="S203" s="100"/>
      <c r="T203" s="99"/>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row>
    <row r="204" spans="1:174" ht="63" x14ac:dyDescent="0.2">
      <c r="A204" s="82" t="s">
        <v>330</v>
      </c>
      <c r="B204" s="17" t="s">
        <v>57</v>
      </c>
      <c r="C204" s="47"/>
      <c r="D204" s="11"/>
      <c r="E204" s="51"/>
      <c r="F204" s="34"/>
      <c r="G204" s="34"/>
      <c r="H204" s="68"/>
      <c r="I204" s="71"/>
      <c r="J204" s="69">
        <f t="shared" si="3"/>
        <v>0</v>
      </c>
      <c r="K204" s="105"/>
      <c r="L204" s="105"/>
      <c r="M204" s="105"/>
      <c r="N204" s="104"/>
      <c r="O204" s="104" t="s">
        <v>846</v>
      </c>
      <c r="P204" s="104"/>
      <c r="Q204" s="104" t="s">
        <v>1144</v>
      </c>
      <c r="R204" s="106" t="s">
        <v>890</v>
      </c>
      <c r="S204" s="100" t="s">
        <v>849</v>
      </c>
      <c r="T204" s="99" t="s">
        <v>841</v>
      </c>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row>
    <row r="205" spans="1:174" ht="63" x14ac:dyDescent="0.2">
      <c r="A205" s="82" t="s">
        <v>347</v>
      </c>
      <c r="B205" s="17" t="s">
        <v>62</v>
      </c>
      <c r="C205" s="13"/>
      <c r="D205" s="11"/>
      <c r="E205" s="51" t="str">
        <f>IF(C205="","",IF(C205="Yes","Please specify the algorithm used to encrypt data backups.","State any plans to encrypt data backups."))</f>
        <v/>
      </c>
      <c r="F205" s="34"/>
      <c r="G205" s="34"/>
      <c r="H205" s="68"/>
      <c r="I205" s="71"/>
      <c r="J205" s="69">
        <f t="shared" si="3"/>
        <v>0</v>
      </c>
      <c r="K205" s="105"/>
      <c r="L205" s="105"/>
      <c r="M205" s="105"/>
      <c r="N205" s="104"/>
      <c r="O205" s="104" t="s">
        <v>846</v>
      </c>
      <c r="P205" s="104" t="s">
        <v>847</v>
      </c>
      <c r="Q205" s="106" t="s">
        <v>1145</v>
      </c>
      <c r="R205" s="106" t="s">
        <v>890</v>
      </c>
      <c r="S205" s="108" t="s">
        <v>920</v>
      </c>
      <c r="T205" s="99" t="s">
        <v>872</v>
      </c>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row>
    <row r="206" spans="1:174" ht="31.5" x14ac:dyDescent="0.2">
      <c r="A206" s="82" t="s">
        <v>348</v>
      </c>
      <c r="B206" s="17" t="s">
        <v>501</v>
      </c>
      <c r="C206" s="13"/>
      <c r="D206" s="11"/>
      <c r="E206" s="51"/>
      <c r="F206" s="34"/>
      <c r="G206" s="34"/>
      <c r="H206" s="68"/>
      <c r="I206" s="71"/>
      <c r="J206" s="69">
        <f t="shared" si="3"/>
        <v>0</v>
      </c>
      <c r="K206" s="105"/>
      <c r="L206" s="105"/>
      <c r="M206" s="105"/>
      <c r="N206" s="104"/>
      <c r="O206" s="104" t="s">
        <v>846</v>
      </c>
      <c r="P206" s="104"/>
      <c r="Q206" s="104" t="s">
        <v>1144</v>
      </c>
      <c r="R206" s="106" t="s">
        <v>921</v>
      </c>
      <c r="S206" s="100" t="s">
        <v>849</v>
      </c>
      <c r="T206" s="99" t="s">
        <v>841</v>
      </c>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row>
    <row r="207" spans="1:174" ht="31.5" x14ac:dyDescent="0.2">
      <c r="A207" s="82" t="s">
        <v>545</v>
      </c>
      <c r="B207" s="17" t="s">
        <v>586</v>
      </c>
      <c r="C207" s="13"/>
      <c r="D207" s="11"/>
      <c r="E207" s="61"/>
      <c r="F207" s="34"/>
      <c r="G207" s="34" t="s">
        <v>924</v>
      </c>
      <c r="H207" s="68"/>
      <c r="I207" s="71"/>
      <c r="J207" s="69">
        <f t="shared" ref="J207:J258" si="4">H207*I207</f>
        <v>0</v>
      </c>
      <c r="K207" s="105"/>
      <c r="L207" s="105"/>
      <c r="M207" s="105"/>
      <c r="N207" s="104"/>
      <c r="O207" s="104" t="s">
        <v>816</v>
      </c>
      <c r="P207" s="104" t="s">
        <v>922</v>
      </c>
      <c r="Q207" s="106" t="s">
        <v>1143</v>
      </c>
      <c r="R207" s="104" t="s">
        <v>923</v>
      </c>
      <c r="S207" s="100"/>
      <c r="T207" s="99" t="s">
        <v>872</v>
      </c>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row>
    <row r="208" spans="1:174" ht="108" x14ac:dyDescent="0.2">
      <c r="A208" s="151" t="s">
        <v>147</v>
      </c>
      <c r="B208" s="151"/>
      <c r="C208" s="122" t="str">
        <f>"Response for " &amp; C45</f>
        <v>Response for Supplier Systems</v>
      </c>
      <c r="D208" s="2" t="s">
        <v>17</v>
      </c>
      <c r="E208" s="2" t="s">
        <v>18</v>
      </c>
      <c r="F208" s="2" t="s">
        <v>338</v>
      </c>
      <c r="G208" s="2" t="s">
        <v>364</v>
      </c>
      <c r="H208" s="142" t="s">
        <v>564</v>
      </c>
      <c r="I208" s="143"/>
      <c r="J208" s="67">
        <f>SUM(J209:J220)</f>
        <v>0</v>
      </c>
      <c r="K208" s="86" t="s">
        <v>600</v>
      </c>
      <c r="L208" s="86" t="s">
        <v>601</v>
      </c>
      <c r="M208" s="86" t="s">
        <v>602</v>
      </c>
      <c r="N208" s="87" t="s">
        <v>603</v>
      </c>
      <c r="O208" s="87" t="s">
        <v>604</v>
      </c>
      <c r="P208" s="87" t="s">
        <v>605</v>
      </c>
      <c r="Q208" s="88" t="s">
        <v>1110</v>
      </c>
      <c r="R208" s="89" t="s">
        <v>608</v>
      </c>
      <c r="S208" s="87" t="s">
        <v>611</v>
      </c>
      <c r="T208" s="87" t="s">
        <v>615</v>
      </c>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row>
    <row r="209" spans="1:174" ht="63" x14ac:dyDescent="0.2">
      <c r="A209" s="83" t="s">
        <v>211</v>
      </c>
      <c r="B209" s="17" t="s">
        <v>587</v>
      </c>
      <c r="C209" s="13"/>
      <c r="D209" s="11"/>
      <c r="E209" s="51" t="str">
        <f>IF(C209="","",IF(C209="Yes","Please describe your Cyber Security Incident response process, including when notification would be made to purchaser.","State plans to develop and implement a Cyber Ssecurity Incident response process."))</f>
        <v/>
      </c>
      <c r="F209" s="34">
        <v>25</v>
      </c>
      <c r="G209" s="34" t="s">
        <v>436</v>
      </c>
      <c r="H209" s="68"/>
      <c r="I209" s="71"/>
      <c r="J209" s="69">
        <f t="shared" si="4"/>
        <v>0</v>
      </c>
      <c r="K209" s="107" t="s">
        <v>925</v>
      </c>
      <c r="L209" s="105"/>
      <c r="M209" s="105"/>
      <c r="N209" s="106" t="s">
        <v>927</v>
      </c>
      <c r="O209" s="106" t="s">
        <v>927</v>
      </c>
      <c r="P209" s="106" t="s">
        <v>790</v>
      </c>
      <c r="Q209" s="106" t="s">
        <v>1142</v>
      </c>
      <c r="R209" s="106" t="s">
        <v>928</v>
      </c>
      <c r="S209" s="108" t="s">
        <v>929</v>
      </c>
      <c r="T209" s="109" t="s">
        <v>930</v>
      </c>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row>
    <row r="210" spans="1:174" ht="78.75" x14ac:dyDescent="0.2">
      <c r="A210" s="83" t="s">
        <v>212</v>
      </c>
      <c r="B210" s="17" t="s">
        <v>588</v>
      </c>
      <c r="C210" s="13"/>
      <c r="D210" s="11"/>
      <c r="E210" s="51"/>
      <c r="F210" s="34">
        <v>28</v>
      </c>
      <c r="G210" s="34" t="s">
        <v>437</v>
      </c>
      <c r="H210" s="68"/>
      <c r="I210" s="71"/>
      <c r="J210" s="69">
        <f t="shared" si="4"/>
        <v>0</v>
      </c>
      <c r="K210" s="107" t="s">
        <v>925</v>
      </c>
      <c r="L210" s="105"/>
      <c r="M210" s="105"/>
      <c r="N210" s="106" t="s">
        <v>927</v>
      </c>
      <c r="O210" s="106" t="s">
        <v>927</v>
      </c>
      <c r="P210" s="104" t="s">
        <v>931</v>
      </c>
      <c r="Q210" s="106" t="s">
        <v>1142</v>
      </c>
      <c r="R210" s="106" t="s">
        <v>1031</v>
      </c>
      <c r="S210" s="108" t="s">
        <v>932</v>
      </c>
      <c r="T210" s="109" t="s">
        <v>930</v>
      </c>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row>
    <row r="211" spans="1:174" ht="99.75" x14ac:dyDescent="0.2">
      <c r="A211" s="83" t="s">
        <v>213</v>
      </c>
      <c r="B211" s="17" t="s">
        <v>1097</v>
      </c>
      <c r="C211" s="13"/>
      <c r="D211" s="11"/>
      <c r="E211" s="51" t="s">
        <v>1096</v>
      </c>
      <c r="F211" s="34">
        <v>36</v>
      </c>
      <c r="G211" s="34" t="s">
        <v>438</v>
      </c>
      <c r="H211" s="68"/>
      <c r="I211" s="71"/>
      <c r="J211" s="69">
        <f t="shared" si="4"/>
        <v>0</v>
      </c>
      <c r="K211" s="105" t="s">
        <v>750</v>
      </c>
      <c r="L211" s="105"/>
      <c r="M211" s="105"/>
      <c r="N211" s="106" t="s">
        <v>927</v>
      </c>
      <c r="O211" s="106" t="s">
        <v>927</v>
      </c>
      <c r="P211" s="104" t="s">
        <v>931</v>
      </c>
      <c r="Q211" s="106" t="s">
        <v>1142</v>
      </c>
      <c r="R211" s="106" t="s">
        <v>933</v>
      </c>
      <c r="S211" s="108" t="s">
        <v>934</v>
      </c>
      <c r="T211" s="109" t="s">
        <v>935</v>
      </c>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row>
    <row r="212" spans="1:174" ht="60.75" customHeight="1" x14ac:dyDescent="0.2">
      <c r="A212" s="83" t="s">
        <v>287</v>
      </c>
      <c r="B212" s="17" t="s">
        <v>589</v>
      </c>
      <c r="C212" s="13"/>
      <c r="D212" s="11"/>
      <c r="E212" s="51"/>
      <c r="F212" s="34" t="s">
        <v>439</v>
      </c>
      <c r="G212" s="34" t="s">
        <v>440</v>
      </c>
      <c r="H212" s="68"/>
      <c r="I212" s="71"/>
      <c r="J212" s="69">
        <f t="shared" si="4"/>
        <v>0</v>
      </c>
      <c r="K212" s="105"/>
      <c r="L212" s="105"/>
      <c r="M212" s="105"/>
      <c r="N212" s="104" t="s">
        <v>936</v>
      </c>
      <c r="O212" s="104" t="s">
        <v>936</v>
      </c>
      <c r="P212" s="104" t="s">
        <v>937</v>
      </c>
      <c r="Q212" s="106" t="s">
        <v>1140</v>
      </c>
      <c r="R212" s="106" t="s">
        <v>938</v>
      </c>
      <c r="S212" s="100" t="s">
        <v>939</v>
      </c>
      <c r="T212" s="99" t="s">
        <v>754</v>
      </c>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row>
    <row r="213" spans="1:174" ht="42.75" x14ac:dyDescent="0.2">
      <c r="A213" s="83" t="s">
        <v>285</v>
      </c>
      <c r="B213" s="17" t="s">
        <v>555</v>
      </c>
      <c r="C213" s="13"/>
      <c r="D213" s="24"/>
      <c r="E213" s="51" t="str">
        <f>IF(C213="","",IF(C213="Yes","Please describe this process.","State plans to develop and implement such a process."))</f>
        <v/>
      </c>
      <c r="F213" s="34"/>
      <c r="G213" s="34" t="s">
        <v>441</v>
      </c>
      <c r="H213" s="68"/>
      <c r="I213" s="71"/>
      <c r="J213" s="69">
        <f t="shared" si="4"/>
        <v>0</v>
      </c>
      <c r="K213" s="105"/>
      <c r="L213" s="105"/>
      <c r="M213" s="105"/>
      <c r="N213" s="104"/>
      <c r="O213" s="104"/>
      <c r="P213" s="104"/>
      <c r="Q213" s="104"/>
      <c r="R213" s="104"/>
      <c r="S213" s="100"/>
      <c r="T213" s="99"/>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row>
    <row r="214" spans="1:174" ht="42.75" x14ac:dyDescent="0.2">
      <c r="A214" s="83" t="s">
        <v>286</v>
      </c>
      <c r="B214" s="17" t="s">
        <v>334</v>
      </c>
      <c r="C214" s="13"/>
      <c r="D214" s="24"/>
      <c r="E214" s="51" t="s">
        <v>442</v>
      </c>
      <c r="F214" s="34">
        <v>33</v>
      </c>
      <c r="G214" s="34" t="s">
        <v>443</v>
      </c>
      <c r="H214" s="68"/>
      <c r="I214" s="71"/>
      <c r="J214" s="69">
        <f t="shared" si="4"/>
        <v>0</v>
      </c>
      <c r="K214" s="105"/>
      <c r="L214" s="105"/>
      <c r="M214" s="105"/>
      <c r="N214" s="104" t="s">
        <v>940</v>
      </c>
      <c r="O214" s="104" t="s">
        <v>940</v>
      </c>
      <c r="P214" s="104" t="s">
        <v>941</v>
      </c>
      <c r="Q214" s="104" t="s">
        <v>1141</v>
      </c>
      <c r="R214" s="104" t="s">
        <v>942</v>
      </c>
      <c r="S214" s="100" t="s">
        <v>943</v>
      </c>
      <c r="T214" s="99" t="s">
        <v>754</v>
      </c>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row>
    <row r="215" spans="1:174" ht="42.75" x14ac:dyDescent="0.2">
      <c r="A215" s="83" t="s">
        <v>288</v>
      </c>
      <c r="B215" s="17" t="s">
        <v>590</v>
      </c>
      <c r="C215" s="13"/>
      <c r="D215" s="24"/>
      <c r="E215" s="51" t="s">
        <v>444</v>
      </c>
      <c r="F215" s="34">
        <v>26</v>
      </c>
      <c r="G215" s="34" t="s">
        <v>445</v>
      </c>
      <c r="H215" s="68"/>
      <c r="I215" s="71"/>
      <c r="J215" s="69">
        <f t="shared" si="4"/>
        <v>0</v>
      </c>
      <c r="K215" s="105"/>
      <c r="L215" s="105"/>
      <c r="M215" s="105"/>
      <c r="N215" s="104" t="s">
        <v>944</v>
      </c>
      <c r="O215" s="104" t="s">
        <v>944</v>
      </c>
      <c r="P215" s="104" t="s">
        <v>937</v>
      </c>
      <c r="Q215" s="104" t="s">
        <v>1140</v>
      </c>
      <c r="R215" s="106" t="s">
        <v>945</v>
      </c>
      <c r="S215" s="100" t="s">
        <v>943</v>
      </c>
      <c r="T215" s="99" t="s">
        <v>754</v>
      </c>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row>
    <row r="216" spans="1:174" ht="31.5" x14ac:dyDescent="0.2">
      <c r="A216" s="83" t="s">
        <v>289</v>
      </c>
      <c r="B216" s="17" t="s">
        <v>591</v>
      </c>
      <c r="C216" s="13"/>
      <c r="D216" s="24"/>
      <c r="E216" s="51"/>
      <c r="F216" s="34">
        <v>32</v>
      </c>
      <c r="G216" s="34" t="s">
        <v>446</v>
      </c>
      <c r="H216" s="68"/>
      <c r="I216" s="71"/>
      <c r="J216" s="69">
        <f t="shared" si="4"/>
        <v>0</v>
      </c>
      <c r="K216" s="105"/>
      <c r="L216" s="105"/>
      <c r="M216" s="105"/>
      <c r="N216" s="104" t="s">
        <v>944</v>
      </c>
      <c r="O216" s="104" t="s">
        <v>944</v>
      </c>
      <c r="P216" s="104"/>
      <c r="Q216" s="104" t="s">
        <v>1140</v>
      </c>
      <c r="R216" s="104"/>
      <c r="S216" s="108" t="s">
        <v>946</v>
      </c>
      <c r="T216" s="109" t="s">
        <v>930</v>
      </c>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row>
    <row r="217" spans="1:174" ht="47.25" x14ac:dyDescent="0.2">
      <c r="A217" s="83" t="s">
        <v>290</v>
      </c>
      <c r="B217" s="17" t="s">
        <v>592</v>
      </c>
      <c r="C217" s="13"/>
      <c r="D217" s="24"/>
      <c r="E217" s="51"/>
      <c r="F217" s="34">
        <v>27</v>
      </c>
      <c r="G217" s="34" t="s">
        <v>447</v>
      </c>
      <c r="H217" s="68"/>
      <c r="I217" s="71"/>
      <c r="J217" s="69">
        <f t="shared" si="4"/>
        <v>0</v>
      </c>
      <c r="K217" s="105"/>
      <c r="L217" s="105"/>
      <c r="M217" s="105"/>
      <c r="N217" s="104" t="s">
        <v>944</v>
      </c>
      <c r="O217" s="104" t="s">
        <v>944</v>
      </c>
      <c r="P217" s="104" t="s">
        <v>937</v>
      </c>
      <c r="Q217" s="104" t="s">
        <v>1045</v>
      </c>
      <c r="R217" s="106" t="s">
        <v>947</v>
      </c>
      <c r="S217" s="108" t="s">
        <v>929</v>
      </c>
      <c r="T217" s="99" t="s">
        <v>792</v>
      </c>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row>
    <row r="218" spans="1:174" ht="78.75" x14ac:dyDescent="0.2">
      <c r="A218" s="83" t="s">
        <v>349</v>
      </c>
      <c r="B218" s="17" t="s">
        <v>593</v>
      </c>
      <c r="C218" s="13"/>
      <c r="D218" s="24"/>
      <c r="E218" s="51"/>
      <c r="F218" s="34">
        <v>29</v>
      </c>
      <c r="G218" s="34" t="s">
        <v>448</v>
      </c>
      <c r="H218" s="68"/>
      <c r="I218" s="71"/>
      <c r="J218" s="69">
        <f t="shared" si="4"/>
        <v>0</v>
      </c>
      <c r="K218" s="105" t="s">
        <v>926</v>
      </c>
      <c r="L218" s="105"/>
      <c r="M218" s="105"/>
      <c r="N218" s="106" t="s">
        <v>948</v>
      </c>
      <c r="O218" s="106" t="s">
        <v>948</v>
      </c>
      <c r="P218" s="106" t="s">
        <v>790</v>
      </c>
      <c r="Q218" s="106" t="s">
        <v>1139</v>
      </c>
      <c r="R218" s="106" t="s">
        <v>949</v>
      </c>
      <c r="S218" s="108" t="s">
        <v>929</v>
      </c>
      <c r="T218" s="109" t="s">
        <v>930</v>
      </c>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row>
    <row r="219" spans="1:174" s="56" customFormat="1" ht="47.25" x14ac:dyDescent="0.2">
      <c r="A219" s="82" t="s">
        <v>350</v>
      </c>
      <c r="B219" s="17" t="s">
        <v>544</v>
      </c>
      <c r="C219" s="13"/>
      <c r="D219" s="11"/>
      <c r="E219" s="17" t="str">
        <f>IF(C219="","",IF(C219="Yes","What type of system do you use (network-based, host-based, etc.)?","State plans to implement an intrustion detection/prevention system."))</f>
        <v/>
      </c>
      <c r="F219" s="34"/>
      <c r="G219" s="34"/>
      <c r="H219" s="68"/>
      <c r="I219" s="71"/>
      <c r="J219" s="69">
        <f t="shared" si="4"/>
        <v>0</v>
      </c>
      <c r="K219" s="105"/>
      <c r="L219" s="105"/>
      <c r="M219" s="105"/>
      <c r="N219" s="104" t="s">
        <v>950</v>
      </c>
      <c r="O219" s="104" t="s">
        <v>950</v>
      </c>
      <c r="P219" s="104" t="s">
        <v>937</v>
      </c>
      <c r="Q219" s="106" t="s">
        <v>1138</v>
      </c>
      <c r="R219" s="106" t="s">
        <v>951</v>
      </c>
      <c r="S219" s="100" t="s">
        <v>952</v>
      </c>
      <c r="T219" s="109" t="s">
        <v>953</v>
      </c>
    </row>
    <row r="220" spans="1:174" ht="31.5" x14ac:dyDescent="0.2">
      <c r="A220" s="83" t="s">
        <v>351</v>
      </c>
      <c r="B220" s="3" t="s">
        <v>148</v>
      </c>
      <c r="C220" s="13"/>
      <c r="D220" s="11"/>
      <c r="E220" s="51"/>
      <c r="F220" s="34"/>
      <c r="G220" s="34"/>
      <c r="H220" s="68"/>
      <c r="I220" s="71"/>
      <c r="J220" s="69">
        <f t="shared" si="4"/>
        <v>0</v>
      </c>
      <c r="K220" s="105"/>
      <c r="L220" s="105"/>
      <c r="M220" s="105"/>
      <c r="N220" s="104" t="s">
        <v>855</v>
      </c>
      <c r="O220" s="104" t="s">
        <v>855</v>
      </c>
      <c r="P220" s="104" t="s">
        <v>813</v>
      </c>
      <c r="Q220" s="106" t="s">
        <v>1137</v>
      </c>
      <c r="R220" s="104" t="s">
        <v>954</v>
      </c>
      <c r="S220" s="100" t="s">
        <v>955</v>
      </c>
      <c r="T220" s="99" t="s">
        <v>956</v>
      </c>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row>
    <row r="221" spans="1:174" ht="108" x14ac:dyDescent="0.2">
      <c r="A221" s="151" t="s">
        <v>149</v>
      </c>
      <c r="B221" s="151"/>
      <c r="C221" s="122" t="str">
        <f>"Response for " &amp; C45</f>
        <v>Response for Supplier Systems</v>
      </c>
      <c r="D221" s="2" t="s">
        <v>17</v>
      </c>
      <c r="E221" s="2" t="s">
        <v>18</v>
      </c>
      <c r="F221" s="2" t="s">
        <v>338</v>
      </c>
      <c r="G221" s="2" t="s">
        <v>364</v>
      </c>
      <c r="H221" s="142" t="s">
        <v>564</v>
      </c>
      <c r="I221" s="143"/>
      <c r="J221" s="67">
        <f>SUM(J222:J231)</f>
        <v>0</v>
      </c>
      <c r="K221" s="86" t="s">
        <v>600</v>
      </c>
      <c r="L221" s="86" t="s">
        <v>601</v>
      </c>
      <c r="M221" s="86" t="s">
        <v>602</v>
      </c>
      <c r="N221" s="87" t="s">
        <v>603</v>
      </c>
      <c r="O221" s="87" t="s">
        <v>604</v>
      </c>
      <c r="P221" s="87" t="s">
        <v>605</v>
      </c>
      <c r="Q221" s="88" t="s">
        <v>1110</v>
      </c>
      <c r="R221" s="89" t="s">
        <v>608</v>
      </c>
      <c r="S221" s="87" t="s">
        <v>611</v>
      </c>
      <c r="T221" s="87" t="s">
        <v>615</v>
      </c>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row>
    <row r="222" spans="1:174" ht="18" x14ac:dyDescent="0.2">
      <c r="A222" s="83" t="s">
        <v>214</v>
      </c>
      <c r="B222" s="17" t="s">
        <v>1098</v>
      </c>
      <c r="C222" s="13"/>
      <c r="D222" s="11"/>
      <c r="E222" s="51" t="s">
        <v>150</v>
      </c>
      <c r="F222" s="35"/>
      <c r="G222" s="35"/>
      <c r="H222" s="68"/>
      <c r="I222" s="71"/>
      <c r="J222" s="69">
        <f t="shared" si="4"/>
        <v>0</v>
      </c>
      <c r="K222" s="105"/>
      <c r="L222" s="105"/>
      <c r="M222" s="105"/>
      <c r="N222" s="104"/>
      <c r="O222" s="104"/>
      <c r="P222" s="104"/>
      <c r="Q222" s="104"/>
      <c r="R222" s="104"/>
      <c r="S222" s="100"/>
      <c r="T222" s="99"/>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row>
    <row r="223" spans="1:174" ht="57" x14ac:dyDescent="0.2">
      <c r="A223" s="83" t="s">
        <v>215</v>
      </c>
      <c r="B223" s="3" t="s">
        <v>73</v>
      </c>
      <c r="C223" s="47"/>
      <c r="D223" s="11"/>
      <c r="E223" s="51" t="s">
        <v>531</v>
      </c>
      <c r="F223" s="35"/>
      <c r="G223" s="35"/>
      <c r="H223" s="68"/>
      <c r="I223" s="71"/>
      <c r="J223" s="69">
        <f t="shared" si="4"/>
        <v>0</v>
      </c>
      <c r="K223" s="105"/>
      <c r="L223" s="105"/>
      <c r="M223" s="105"/>
      <c r="N223" s="104"/>
      <c r="O223" s="104"/>
      <c r="P223" s="104"/>
      <c r="Q223" s="104"/>
      <c r="R223" s="104"/>
      <c r="S223" s="100"/>
      <c r="T223" s="99"/>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row>
    <row r="224" spans="1:174" ht="18" x14ac:dyDescent="0.2">
      <c r="A224" s="83" t="s">
        <v>216</v>
      </c>
      <c r="B224" s="3" t="s">
        <v>97</v>
      </c>
      <c r="C224" s="13"/>
      <c r="D224" s="12"/>
      <c r="E224" s="51" t="str">
        <f>IF(C224="","",IF(C224="Yes","State the application title as listed within the trusted source.","Decribe how the application is distributed. Also, state any plans to publish the app to a trusted source."))</f>
        <v/>
      </c>
      <c r="F224" s="35"/>
      <c r="G224" s="35"/>
      <c r="H224" s="68"/>
      <c r="I224" s="71"/>
      <c r="J224" s="69">
        <f t="shared" si="4"/>
        <v>0</v>
      </c>
      <c r="K224" s="105"/>
      <c r="L224" s="105"/>
      <c r="M224" s="105"/>
      <c r="N224" s="104"/>
      <c r="O224" s="104"/>
      <c r="P224" s="104"/>
      <c r="Q224" s="104"/>
      <c r="R224" s="104"/>
      <c r="S224" s="100"/>
      <c r="T224" s="99"/>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row>
    <row r="225" spans="1:174" ht="28.5" x14ac:dyDescent="0.2">
      <c r="A225" s="83" t="s">
        <v>217</v>
      </c>
      <c r="B225" s="3" t="s">
        <v>151</v>
      </c>
      <c r="C225" s="13"/>
      <c r="D225" s="12"/>
      <c r="E225" s="51" t="str">
        <f>IF(C225="","",IF(C225="Yes","Provide a detailed summary for your response.",""))</f>
        <v/>
      </c>
      <c r="F225" s="35"/>
      <c r="G225" s="35"/>
      <c r="H225" s="68"/>
      <c r="I225" s="71"/>
      <c r="J225" s="69">
        <f t="shared" si="4"/>
        <v>0</v>
      </c>
      <c r="K225" s="105"/>
      <c r="L225" s="105"/>
      <c r="M225" s="105"/>
      <c r="N225" s="104"/>
      <c r="O225" s="104"/>
      <c r="P225" s="104"/>
      <c r="Q225" s="104"/>
      <c r="R225" s="104"/>
      <c r="S225" s="100"/>
      <c r="T225" s="99"/>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row>
    <row r="226" spans="1:174" ht="18" x14ac:dyDescent="0.2">
      <c r="A226" s="83" t="s">
        <v>218</v>
      </c>
      <c r="B226" s="3" t="s">
        <v>117</v>
      </c>
      <c r="C226" s="13"/>
      <c r="D226" s="12"/>
      <c r="E226" s="51" t="str">
        <f>IF(C226="","",IF(C226="Yes","Provide a detailed description of what data will be stored and in which location(s), as well as why storing this data in this/these location(s) is necessary.",""))</f>
        <v/>
      </c>
      <c r="F226" s="35"/>
      <c r="G226" s="35"/>
      <c r="H226" s="68"/>
      <c r="I226" s="71"/>
      <c r="J226" s="69">
        <f t="shared" si="4"/>
        <v>0</v>
      </c>
      <c r="K226" s="105"/>
      <c r="L226" s="105"/>
      <c r="M226" s="105"/>
      <c r="N226" s="104"/>
      <c r="O226" s="104"/>
      <c r="P226" s="104"/>
      <c r="Q226" s="104"/>
      <c r="R226" s="104"/>
      <c r="S226" s="100"/>
      <c r="T226" s="99"/>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row>
    <row r="227" spans="1:174" ht="18" x14ac:dyDescent="0.2">
      <c r="A227" s="83" t="s">
        <v>219</v>
      </c>
      <c r="B227" s="3" t="s">
        <v>502</v>
      </c>
      <c r="C227" s="13"/>
      <c r="D227" s="12"/>
      <c r="E227" s="51" t="str">
        <f>IF(C227="","",IF(C227="Yes","Summarize your MDM capabilities.","State any plans to implement a MDM platform in your environment."))</f>
        <v/>
      </c>
      <c r="F227" s="35"/>
      <c r="G227" s="35"/>
      <c r="H227" s="68"/>
      <c r="I227" s="71"/>
      <c r="J227" s="69">
        <f t="shared" si="4"/>
        <v>0</v>
      </c>
      <c r="K227" s="105"/>
      <c r="L227" s="105"/>
      <c r="M227" s="105"/>
      <c r="N227" s="104"/>
      <c r="O227" s="104"/>
      <c r="P227" s="104"/>
      <c r="Q227" s="104"/>
      <c r="R227" s="104"/>
      <c r="S227" s="100"/>
      <c r="T227" s="99"/>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row>
    <row r="228" spans="1:174" ht="18" x14ac:dyDescent="0.2">
      <c r="A228" s="83" t="s">
        <v>220</v>
      </c>
      <c r="B228" s="3" t="s">
        <v>118</v>
      </c>
      <c r="C228" s="13"/>
      <c r="D228" s="12"/>
      <c r="E228" s="51" t="str">
        <f>IF(C228="","",IF(C228="Yes","State any capabilities and plans to detect and prevent the use of jailbroken devices.","Please provide an explanation on how this is enforced."))</f>
        <v/>
      </c>
      <c r="F228" s="35"/>
      <c r="G228" s="35"/>
      <c r="H228" s="68"/>
      <c r="I228" s="71"/>
      <c r="J228" s="69">
        <f t="shared" si="4"/>
        <v>0</v>
      </c>
      <c r="K228" s="105"/>
      <c r="L228" s="105"/>
      <c r="M228" s="105"/>
      <c r="N228" s="104" t="s">
        <v>869</v>
      </c>
      <c r="O228" s="104" t="s">
        <v>869</v>
      </c>
      <c r="P228" s="104" t="s">
        <v>957</v>
      </c>
      <c r="Q228" s="104"/>
      <c r="R228" s="104" t="s">
        <v>923</v>
      </c>
      <c r="S228" s="100" t="s">
        <v>958</v>
      </c>
      <c r="T228" s="99" t="s">
        <v>690</v>
      </c>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row>
    <row r="229" spans="1:174" ht="126" x14ac:dyDescent="0.2">
      <c r="A229" s="83" t="s">
        <v>221</v>
      </c>
      <c r="B229" s="17" t="s">
        <v>1099</v>
      </c>
      <c r="C229" s="13"/>
      <c r="D229" s="12"/>
      <c r="E229" s="51" t="str">
        <f>IF(C229="","",IF(C229="Yes","Describe how data is encrypted in transport. (i.e. from system to app)","Summarize why data is not encrypted in transport. (i.e. from system to app)"))</f>
        <v/>
      </c>
      <c r="F229" s="35"/>
      <c r="G229" s="35"/>
      <c r="H229" s="68"/>
      <c r="I229" s="71"/>
      <c r="J229" s="69">
        <f t="shared" si="4"/>
        <v>0</v>
      </c>
      <c r="K229" s="105"/>
      <c r="L229" s="105" t="s">
        <v>1135</v>
      </c>
      <c r="M229" s="105"/>
      <c r="N229" s="104" t="s">
        <v>622</v>
      </c>
      <c r="O229" s="104" t="s">
        <v>622</v>
      </c>
      <c r="P229" s="106" t="s">
        <v>887</v>
      </c>
      <c r="Q229" s="104" t="s">
        <v>1134</v>
      </c>
      <c r="R229" s="106" t="s">
        <v>888</v>
      </c>
      <c r="S229" s="100" t="s">
        <v>728</v>
      </c>
      <c r="T229" s="109" t="s">
        <v>729</v>
      </c>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row>
    <row r="230" spans="1:174" ht="126" x14ac:dyDescent="0.2">
      <c r="A230" s="83" t="s">
        <v>222</v>
      </c>
      <c r="B230" s="17" t="s">
        <v>1100</v>
      </c>
      <c r="C230" s="13"/>
      <c r="D230" s="12"/>
      <c r="E230" s="51" t="str">
        <f>IF(C230="","",IF(C230="Yes","Describe how data is encrypted in storage (i.e. at-rest within the app).","Summarize why data is not encrypted in storage (i.e. at-rest within the app)"))</f>
        <v/>
      </c>
      <c r="F230" s="35"/>
      <c r="G230" s="35"/>
      <c r="H230" s="68"/>
      <c r="I230" s="71"/>
      <c r="J230" s="69">
        <f t="shared" si="4"/>
        <v>0</v>
      </c>
      <c r="K230" s="105"/>
      <c r="L230" s="105"/>
      <c r="M230" s="105" t="s">
        <v>1136</v>
      </c>
      <c r="N230" s="104" t="s">
        <v>724</v>
      </c>
      <c r="O230" s="104" t="s">
        <v>724</v>
      </c>
      <c r="P230" s="104" t="s">
        <v>882</v>
      </c>
      <c r="Q230" s="104" t="s">
        <v>1128</v>
      </c>
      <c r="R230" s="106" t="s">
        <v>959</v>
      </c>
      <c r="S230" s="100" t="s">
        <v>728</v>
      </c>
      <c r="T230" s="99" t="s">
        <v>690</v>
      </c>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row>
    <row r="231" spans="1:174" ht="31.5" x14ac:dyDescent="0.2">
      <c r="A231" s="83" t="s">
        <v>223</v>
      </c>
      <c r="B231" s="3" t="s">
        <v>152</v>
      </c>
      <c r="C231" s="13"/>
      <c r="D231" s="12"/>
      <c r="E231" s="51" t="str">
        <f>IF(C231="","",IF(C231="Yes","Please provide additional information on the methodology used for the vulnerability testing and indicate if the testing was internal or external.","Please state any plans to perform vulnerability testing on the application."))</f>
        <v/>
      </c>
      <c r="F231" s="35"/>
      <c r="G231" s="35"/>
      <c r="H231" s="68"/>
      <c r="I231" s="71"/>
      <c r="J231" s="69">
        <f t="shared" si="4"/>
        <v>0</v>
      </c>
      <c r="K231" s="105"/>
      <c r="L231" s="105"/>
      <c r="M231" s="105"/>
      <c r="N231" s="104"/>
      <c r="O231" s="104" t="s">
        <v>960</v>
      </c>
      <c r="P231" s="104"/>
      <c r="Q231" s="104" t="s">
        <v>1123</v>
      </c>
      <c r="R231" s="106" t="s">
        <v>961</v>
      </c>
      <c r="S231" s="100"/>
      <c r="T231" s="99"/>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row>
    <row r="232" spans="1:174" ht="108" x14ac:dyDescent="0.2">
      <c r="A232" s="151" t="s">
        <v>153</v>
      </c>
      <c r="B232" s="151"/>
      <c r="C232" s="122" t="str">
        <f>"Response for " &amp; C45</f>
        <v>Response for Supplier Systems</v>
      </c>
      <c r="D232" s="2" t="s">
        <v>17</v>
      </c>
      <c r="E232" s="2" t="s">
        <v>18</v>
      </c>
      <c r="F232" s="2" t="s">
        <v>338</v>
      </c>
      <c r="G232" s="2" t="s">
        <v>364</v>
      </c>
      <c r="H232" s="142" t="s">
        <v>564</v>
      </c>
      <c r="I232" s="143"/>
      <c r="J232" s="67">
        <f>SUM(J233:J258)</f>
        <v>0</v>
      </c>
      <c r="K232" s="86" t="s">
        <v>600</v>
      </c>
      <c r="L232" s="86" t="s">
        <v>601</v>
      </c>
      <c r="M232" s="86" t="s">
        <v>602</v>
      </c>
      <c r="N232" s="87" t="s">
        <v>603</v>
      </c>
      <c r="O232" s="87" t="s">
        <v>604</v>
      </c>
      <c r="P232" s="87" t="s">
        <v>605</v>
      </c>
      <c r="Q232" s="88" t="s">
        <v>1110</v>
      </c>
      <c r="R232" s="89" t="s">
        <v>608</v>
      </c>
      <c r="S232" s="87" t="s">
        <v>611</v>
      </c>
      <c r="T232" s="87" t="s">
        <v>615</v>
      </c>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row>
    <row r="233" spans="1:174" ht="63" x14ac:dyDescent="0.2">
      <c r="A233" s="83" t="s">
        <v>224</v>
      </c>
      <c r="B233" s="3" t="s">
        <v>74</v>
      </c>
      <c r="C233" s="13"/>
      <c r="D233" s="12"/>
      <c r="E233" s="52" t="str">
        <f>IF(C233="","",IF(C233="Yes","Provide a copy of your physical security controls and policies along with this document (link or attached).","Describe your intent to implement physical security controls and policies."))</f>
        <v/>
      </c>
      <c r="F233" s="34"/>
      <c r="G233" s="34"/>
      <c r="H233" s="68"/>
      <c r="I233" s="71"/>
      <c r="J233" s="69">
        <f t="shared" si="4"/>
        <v>0</v>
      </c>
      <c r="K233" s="105"/>
      <c r="L233" s="105"/>
      <c r="M233" s="105"/>
      <c r="N233" s="104" t="s">
        <v>835</v>
      </c>
      <c r="O233" s="104" t="s">
        <v>835</v>
      </c>
      <c r="P233" s="106" t="s">
        <v>963</v>
      </c>
      <c r="Q233" s="104" t="s">
        <v>1133</v>
      </c>
      <c r="R233" s="106" t="s">
        <v>964</v>
      </c>
      <c r="S233" s="108" t="s">
        <v>965</v>
      </c>
      <c r="T233" s="99" t="s">
        <v>629</v>
      </c>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row>
    <row r="234" spans="1:174" ht="18" x14ac:dyDescent="0.2">
      <c r="A234" s="83" t="s">
        <v>225</v>
      </c>
      <c r="B234" s="17" t="s">
        <v>119</v>
      </c>
      <c r="C234" s="13"/>
      <c r="D234" s="18"/>
      <c r="E234" s="51" t="str">
        <f>IF(C234="","",IF(C234="Yes","List open source code or freeware/shareware utilized, including frameworks. Describe how you verify integrity and maintain this code, including monitoring for vulnerabilities and deploying patches.",""))</f>
        <v/>
      </c>
      <c r="F234" s="34"/>
      <c r="G234" s="34"/>
      <c r="H234" s="68"/>
      <c r="I234" s="71"/>
      <c r="J234" s="69">
        <f t="shared" si="4"/>
        <v>0</v>
      </c>
      <c r="K234" s="105"/>
      <c r="L234" s="105"/>
      <c r="M234" s="105"/>
      <c r="N234" s="104" t="s">
        <v>966</v>
      </c>
      <c r="O234" s="104" t="s">
        <v>966</v>
      </c>
      <c r="P234" s="104"/>
      <c r="Q234" s="104"/>
      <c r="R234" s="104"/>
      <c r="S234" s="100"/>
      <c r="T234" s="99"/>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row>
    <row r="235" spans="1:174" ht="31.5" x14ac:dyDescent="0.2">
      <c r="A235" s="83" t="s">
        <v>226</v>
      </c>
      <c r="B235" s="17" t="s">
        <v>267</v>
      </c>
      <c r="C235" s="13"/>
      <c r="D235" s="18"/>
      <c r="E235" s="51" t="str">
        <f>IF(C235="","",IF(C235="Yes","Please describe in appropriate detail.","Please describe how you ensure security of products during electronic transport."))</f>
        <v/>
      </c>
      <c r="F235" s="34">
        <v>60</v>
      </c>
      <c r="G235" s="34" t="s">
        <v>449</v>
      </c>
      <c r="H235" s="68"/>
      <c r="I235" s="71"/>
      <c r="J235" s="69">
        <f t="shared" si="4"/>
        <v>0</v>
      </c>
      <c r="K235" s="105" t="s">
        <v>618</v>
      </c>
      <c r="L235" s="105"/>
      <c r="M235" s="105"/>
      <c r="N235" s="106" t="s">
        <v>967</v>
      </c>
      <c r="O235" s="106" t="s">
        <v>967</v>
      </c>
      <c r="P235" s="104"/>
      <c r="Q235" s="104"/>
      <c r="R235" s="104"/>
      <c r="S235" s="100"/>
      <c r="T235" s="99" t="s">
        <v>872</v>
      </c>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row>
    <row r="236" spans="1:174" ht="63" x14ac:dyDescent="0.2">
      <c r="A236" s="83" t="s">
        <v>227</v>
      </c>
      <c r="B236" s="17" t="s">
        <v>556</v>
      </c>
      <c r="C236" s="13"/>
      <c r="D236" s="18"/>
      <c r="E236" s="51" t="str">
        <f>IF(C236="","",IF(C236="Yes","Please describe how this is accomplished.",""))</f>
        <v/>
      </c>
      <c r="F236" s="34"/>
      <c r="G236" s="34" t="s">
        <v>450</v>
      </c>
      <c r="H236" s="68"/>
      <c r="I236" s="71"/>
      <c r="J236" s="69">
        <f t="shared" si="4"/>
        <v>0</v>
      </c>
      <c r="K236" s="105" t="s">
        <v>618</v>
      </c>
      <c r="L236" s="105"/>
      <c r="M236" s="105" t="s">
        <v>1132</v>
      </c>
      <c r="N236" s="104" t="s">
        <v>781</v>
      </c>
      <c r="O236" s="104" t="s">
        <v>781</v>
      </c>
      <c r="P236" s="104"/>
      <c r="Q236" s="104" t="s">
        <v>1128</v>
      </c>
      <c r="R236" s="106" t="s">
        <v>968</v>
      </c>
      <c r="S236" s="100"/>
      <c r="T236" s="99" t="s">
        <v>672</v>
      </c>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row>
    <row r="237" spans="1:174" ht="31.5" x14ac:dyDescent="0.2">
      <c r="A237" s="83" t="s">
        <v>228</v>
      </c>
      <c r="B237" s="17" t="s">
        <v>335</v>
      </c>
      <c r="C237" s="13"/>
      <c r="D237" s="18"/>
      <c r="E237" s="51"/>
      <c r="F237" s="34" t="s">
        <v>451</v>
      </c>
      <c r="G237" s="34" t="s">
        <v>452</v>
      </c>
      <c r="H237" s="68"/>
      <c r="I237" s="71"/>
      <c r="J237" s="69">
        <f t="shared" si="4"/>
        <v>0</v>
      </c>
      <c r="K237" s="105" t="s">
        <v>618</v>
      </c>
      <c r="L237" s="105"/>
      <c r="M237" s="105"/>
      <c r="N237" s="104" t="s">
        <v>969</v>
      </c>
      <c r="O237" s="104" t="s">
        <v>969</v>
      </c>
      <c r="P237" s="104" t="s">
        <v>970</v>
      </c>
      <c r="Q237" s="104" t="s">
        <v>1123</v>
      </c>
      <c r="R237" s="106" t="s">
        <v>971</v>
      </c>
      <c r="S237" s="108" t="s">
        <v>972</v>
      </c>
      <c r="T237" s="99" t="s">
        <v>973</v>
      </c>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row>
    <row r="238" spans="1:174" ht="94.5" x14ac:dyDescent="0.2">
      <c r="A238" s="83" t="s">
        <v>229</v>
      </c>
      <c r="B238" s="17" t="s">
        <v>503</v>
      </c>
      <c r="C238" s="13"/>
      <c r="D238" s="18"/>
      <c r="E238" s="51"/>
      <c r="F238" s="34">
        <v>51</v>
      </c>
      <c r="G238" s="34" t="s">
        <v>453</v>
      </c>
      <c r="H238" s="68"/>
      <c r="I238" s="71"/>
      <c r="J238" s="69">
        <f t="shared" si="4"/>
        <v>0</v>
      </c>
      <c r="K238" s="105" t="s">
        <v>962</v>
      </c>
      <c r="L238" s="105"/>
      <c r="M238" s="105"/>
      <c r="N238" s="106" t="s">
        <v>974</v>
      </c>
      <c r="O238" s="106" t="s">
        <v>974</v>
      </c>
      <c r="P238" s="104" t="s">
        <v>813</v>
      </c>
      <c r="Q238" s="106" t="s">
        <v>1129</v>
      </c>
      <c r="R238" s="104" t="s">
        <v>975</v>
      </c>
      <c r="S238" s="108" t="s">
        <v>976</v>
      </c>
      <c r="T238" s="109" t="s">
        <v>977</v>
      </c>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row>
    <row r="239" spans="1:174" ht="31.5" x14ac:dyDescent="0.2">
      <c r="A239" s="83" t="s">
        <v>230</v>
      </c>
      <c r="B239" s="17" t="s">
        <v>1102</v>
      </c>
      <c r="C239" s="13"/>
      <c r="D239" s="18"/>
      <c r="E239" s="51"/>
      <c r="F239" s="34">
        <v>20</v>
      </c>
      <c r="G239" s="34"/>
      <c r="H239" s="68"/>
      <c r="I239" s="71"/>
      <c r="J239" s="69">
        <f t="shared" si="4"/>
        <v>0</v>
      </c>
      <c r="K239" s="105"/>
      <c r="L239" s="105"/>
      <c r="M239" s="105"/>
      <c r="N239" s="106" t="s">
        <v>978</v>
      </c>
      <c r="O239" s="106" t="s">
        <v>978</v>
      </c>
      <c r="P239" s="104"/>
      <c r="Q239" s="104"/>
      <c r="R239" s="104"/>
      <c r="S239" s="100"/>
      <c r="T239" s="109" t="s">
        <v>977</v>
      </c>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row>
    <row r="240" spans="1:174" ht="47.25" x14ac:dyDescent="0.2">
      <c r="A240" s="83" t="s">
        <v>231</v>
      </c>
      <c r="B240" s="17" t="s">
        <v>1101</v>
      </c>
      <c r="C240" s="13"/>
      <c r="D240" s="18"/>
      <c r="E240" s="51"/>
      <c r="F240" s="34">
        <v>37</v>
      </c>
      <c r="G240" s="34" t="s">
        <v>454</v>
      </c>
      <c r="H240" s="68"/>
      <c r="I240" s="71"/>
      <c r="J240" s="69">
        <f t="shared" si="4"/>
        <v>0</v>
      </c>
      <c r="K240" s="105"/>
      <c r="L240" s="105"/>
      <c r="M240" s="105"/>
      <c r="N240" s="104" t="s">
        <v>979</v>
      </c>
      <c r="O240" s="104" t="s">
        <v>979</v>
      </c>
      <c r="P240" s="104" t="s">
        <v>910</v>
      </c>
      <c r="Q240" s="106" t="s">
        <v>1130</v>
      </c>
      <c r="R240" s="106" t="s">
        <v>980</v>
      </c>
      <c r="S240" s="108" t="s">
        <v>981</v>
      </c>
      <c r="T240" s="99"/>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row>
    <row r="241" spans="1:174" ht="110.25" x14ac:dyDescent="0.2">
      <c r="A241" s="83" t="s">
        <v>232</v>
      </c>
      <c r="B241" s="17" t="s">
        <v>1103</v>
      </c>
      <c r="C241" s="13"/>
      <c r="D241" s="18"/>
      <c r="E241" s="51" t="str">
        <f>IF(C241="","",IF(C241="Yes","Please describe this program.","Please describe how this is accomplished in absence of formal process or program."))</f>
        <v/>
      </c>
      <c r="F241" s="34">
        <v>49</v>
      </c>
      <c r="G241" s="34" t="s">
        <v>455</v>
      </c>
      <c r="H241" s="68"/>
      <c r="I241" s="71"/>
      <c r="J241" s="69">
        <f t="shared" si="4"/>
        <v>0</v>
      </c>
      <c r="K241" s="105" t="s">
        <v>618</v>
      </c>
      <c r="L241" s="105"/>
      <c r="M241" s="105" t="s">
        <v>1132</v>
      </c>
      <c r="N241" s="106" t="s">
        <v>982</v>
      </c>
      <c r="O241" s="106" t="s">
        <v>982</v>
      </c>
      <c r="P241" s="106" t="s">
        <v>983</v>
      </c>
      <c r="Q241" s="106" t="s">
        <v>1131</v>
      </c>
      <c r="R241" s="106" t="s">
        <v>984</v>
      </c>
      <c r="S241" s="108" t="s">
        <v>985</v>
      </c>
      <c r="T241" s="109" t="s">
        <v>986</v>
      </c>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row>
    <row r="242" spans="1:174" ht="47.25" x14ac:dyDescent="0.2">
      <c r="A242" s="83" t="s">
        <v>233</v>
      </c>
      <c r="B242" s="17" t="s">
        <v>305</v>
      </c>
      <c r="C242" s="13"/>
      <c r="D242" s="18"/>
      <c r="E242" s="51"/>
      <c r="F242" s="34">
        <v>53</v>
      </c>
      <c r="G242" s="34" t="s">
        <v>456</v>
      </c>
      <c r="H242" s="68"/>
      <c r="I242" s="71"/>
      <c r="J242" s="69">
        <f t="shared" si="4"/>
        <v>0</v>
      </c>
      <c r="K242" s="105" t="s">
        <v>618</v>
      </c>
      <c r="L242" s="105"/>
      <c r="M242" s="105"/>
      <c r="N242" s="104" t="s">
        <v>781</v>
      </c>
      <c r="O242" s="104" t="s">
        <v>781</v>
      </c>
      <c r="P242" s="104"/>
      <c r="Q242" s="104" t="s">
        <v>1128</v>
      </c>
      <c r="R242" s="106" t="s">
        <v>987</v>
      </c>
      <c r="S242" s="108" t="s">
        <v>988</v>
      </c>
      <c r="T242" s="99" t="s">
        <v>672</v>
      </c>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row>
    <row r="243" spans="1:174" ht="28.5" x14ac:dyDescent="0.2">
      <c r="A243" s="83" t="s">
        <v>234</v>
      </c>
      <c r="B243" s="17" t="s">
        <v>504</v>
      </c>
      <c r="C243" s="13"/>
      <c r="D243" s="18"/>
      <c r="E243" s="51"/>
      <c r="F243" s="34"/>
      <c r="G243" s="34" t="s">
        <v>457</v>
      </c>
      <c r="H243" s="68"/>
      <c r="I243" s="71"/>
      <c r="J243" s="69">
        <f t="shared" si="4"/>
        <v>0</v>
      </c>
      <c r="K243" s="105"/>
      <c r="L243" s="105"/>
      <c r="M243" s="105"/>
      <c r="N243" s="104"/>
      <c r="O243" s="104"/>
      <c r="P243" s="104"/>
      <c r="Q243" s="104"/>
      <c r="R243" s="104"/>
      <c r="S243" s="100"/>
      <c r="T243" s="99"/>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row>
    <row r="244" spans="1:174" ht="78.75" x14ac:dyDescent="0.2">
      <c r="A244" s="83" t="s">
        <v>235</v>
      </c>
      <c r="B244" s="17" t="s">
        <v>505</v>
      </c>
      <c r="C244" s="13"/>
      <c r="D244" s="18"/>
      <c r="E244" s="51"/>
      <c r="F244" s="34"/>
      <c r="G244" s="34" t="s">
        <v>458</v>
      </c>
      <c r="H244" s="68"/>
      <c r="I244" s="71"/>
      <c r="J244" s="69">
        <f t="shared" si="4"/>
        <v>0</v>
      </c>
      <c r="K244" s="105"/>
      <c r="L244" s="107" t="s">
        <v>1125</v>
      </c>
      <c r="M244" s="107" t="s">
        <v>1126</v>
      </c>
      <c r="N244" s="106" t="s">
        <v>989</v>
      </c>
      <c r="O244" s="106" t="s">
        <v>989</v>
      </c>
      <c r="P244" s="106" t="s">
        <v>990</v>
      </c>
      <c r="Q244" s="106" t="s">
        <v>1124</v>
      </c>
      <c r="R244" s="106" t="s">
        <v>991</v>
      </c>
      <c r="S244" s="108" t="s">
        <v>992</v>
      </c>
      <c r="T244" s="109" t="s">
        <v>993</v>
      </c>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row>
    <row r="245" spans="1:174" ht="47.25" x14ac:dyDescent="0.2">
      <c r="A245" s="82" t="s">
        <v>236</v>
      </c>
      <c r="B245" s="17" t="s">
        <v>1104</v>
      </c>
      <c r="C245" s="13"/>
      <c r="D245" s="18"/>
      <c r="E245" s="61" t="str">
        <f>IF(C245="","",IF(C245="Yes","Please describe these controls.",""))</f>
        <v/>
      </c>
      <c r="F245" s="34">
        <v>16</v>
      </c>
      <c r="G245" s="34" t="s">
        <v>409</v>
      </c>
      <c r="H245" s="68"/>
      <c r="I245" s="71"/>
      <c r="J245" s="69">
        <f t="shared" si="4"/>
        <v>0</v>
      </c>
      <c r="K245" s="105"/>
      <c r="L245" s="105"/>
      <c r="M245" s="107" t="s">
        <v>1126</v>
      </c>
      <c r="N245" s="106" t="s">
        <v>994</v>
      </c>
      <c r="O245" s="106" t="s">
        <v>994</v>
      </c>
      <c r="P245" s="106" t="s">
        <v>995</v>
      </c>
      <c r="Q245" s="104" t="s">
        <v>1113</v>
      </c>
      <c r="R245" s="106" t="s">
        <v>996</v>
      </c>
      <c r="S245" s="108" t="s">
        <v>997</v>
      </c>
      <c r="T245" s="99" t="s">
        <v>872</v>
      </c>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row>
    <row r="246" spans="1:174" ht="18" x14ac:dyDescent="0.2">
      <c r="A246" s="83" t="s">
        <v>237</v>
      </c>
      <c r="B246" s="17" t="s">
        <v>339</v>
      </c>
      <c r="C246" s="13"/>
      <c r="D246" s="18"/>
      <c r="E246" s="51"/>
      <c r="F246" s="34"/>
      <c r="G246" s="34"/>
      <c r="H246" s="68"/>
      <c r="I246" s="71"/>
      <c r="J246" s="69">
        <f t="shared" si="4"/>
        <v>0</v>
      </c>
      <c r="K246" s="105"/>
      <c r="L246" s="105"/>
      <c r="M246" s="105"/>
      <c r="N246" s="104" t="s">
        <v>698</v>
      </c>
      <c r="O246" s="104" t="s">
        <v>698</v>
      </c>
      <c r="P246" s="104"/>
      <c r="Q246" s="104"/>
      <c r="R246" s="104"/>
      <c r="S246" s="100" t="s">
        <v>743</v>
      </c>
      <c r="T246" s="99" t="s">
        <v>662</v>
      </c>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row>
    <row r="247" spans="1:174" ht="47.25" x14ac:dyDescent="0.2">
      <c r="A247" s="83" t="s">
        <v>246</v>
      </c>
      <c r="B247" s="17" t="s">
        <v>594</v>
      </c>
      <c r="C247" s="13"/>
      <c r="D247" s="18"/>
      <c r="E247" s="51" t="str">
        <f>IF(C247="","",IF(C247="Yes","Please describe how the antimalware is maintained and kept up-to-date.","Please describe any plans to install antimalware on all end nodes."))</f>
        <v/>
      </c>
      <c r="F247" s="34"/>
      <c r="G247" s="34"/>
      <c r="H247" s="68"/>
      <c r="I247" s="71"/>
      <c r="J247" s="69">
        <f t="shared" si="4"/>
        <v>0</v>
      </c>
      <c r="K247" s="105"/>
      <c r="L247" s="105"/>
      <c r="M247" s="107" t="s">
        <v>1127</v>
      </c>
      <c r="N247" s="104" t="s">
        <v>969</v>
      </c>
      <c r="O247" s="104" t="s">
        <v>969</v>
      </c>
      <c r="P247" s="104" t="s">
        <v>998</v>
      </c>
      <c r="Q247" s="104" t="s">
        <v>1123</v>
      </c>
      <c r="R247" s="106" t="s">
        <v>999</v>
      </c>
      <c r="S247" s="100" t="s">
        <v>1000</v>
      </c>
      <c r="T247" s="99" t="s">
        <v>973</v>
      </c>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row>
    <row r="248" spans="1:174" ht="18" x14ac:dyDescent="0.2">
      <c r="A248" s="83" t="s">
        <v>266</v>
      </c>
      <c r="B248" s="3" t="s">
        <v>154</v>
      </c>
      <c r="C248" s="13"/>
      <c r="D248" s="12"/>
      <c r="E248" s="51" t="str">
        <f>IF(C248="","",IF(C248="Yes","Please describe your endpoint protection strategy.","Please describe your endpoint protection strategy."))</f>
        <v/>
      </c>
      <c r="F248" s="34"/>
      <c r="G248" s="34"/>
      <c r="H248" s="68"/>
      <c r="I248" s="71"/>
      <c r="J248" s="69">
        <f t="shared" si="4"/>
        <v>0</v>
      </c>
      <c r="K248" s="105"/>
      <c r="L248" s="105"/>
      <c r="M248" s="105"/>
      <c r="N248" s="104"/>
      <c r="O248" s="104"/>
      <c r="P248" s="104"/>
      <c r="Q248" s="104"/>
      <c r="R248" s="104"/>
      <c r="S248" s="100" t="s">
        <v>958</v>
      </c>
      <c r="T248" s="99"/>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row>
    <row r="249" spans="1:174" ht="31.5" x14ac:dyDescent="0.2">
      <c r="A249" s="83" t="s">
        <v>269</v>
      </c>
      <c r="B249" s="3" t="s">
        <v>124</v>
      </c>
      <c r="C249" s="13"/>
      <c r="D249" s="12"/>
      <c r="E249" s="52" t="str">
        <f>IF(C249="","",IF(C249="Yes","Describe your risk management program, including how you manage supply chain risk. Describe or attach any written policies or procedures. Please indcate the frequency at which this policy is reviewed and updated.","Describe any plans to implement a risk management program or process and how it will address supply chain risk."))</f>
        <v/>
      </c>
      <c r="F249" s="34"/>
      <c r="G249" s="34"/>
      <c r="H249" s="68"/>
      <c r="I249" s="71"/>
      <c r="J249" s="69">
        <f t="shared" si="4"/>
        <v>0</v>
      </c>
      <c r="K249" s="105"/>
      <c r="L249" s="105"/>
      <c r="M249" s="105"/>
      <c r="N249" s="104" t="s">
        <v>1001</v>
      </c>
      <c r="O249" s="104" t="s">
        <v>1001</v>
      </c>
      <c r="P249" s="104"/>
      <c r="Q249" s="104" t="s">
        <v>1122</v>
      </c>
      <c r="R249" s="104" t="s">
        <v>1002</v>
      </c>
      <c r="S249" s="100" t="s">
        <v>795</v>
      </c>
      <c r="T249" s="109" t="s">
        <v>775</v>
      </c>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row>
    <row r="250" spans="1:174" ht="18" x14ac:dyDescent="0.2">
      <c r="A250" s="83" t="s">
        <v>273</v>
      </c>
      <c r="B250" s="4" t="s">
        <v>131</v>
      </c>
      <c r="C250" s="13"/>
      <c r="D250" s="12"/>
      <c r="E250" s="52" t="str">
        <f>IF(C250="","",IF(C250="Yes","Please provide a copy of the most recent audit.","State any plans to have a SOC 2 Type II audit conducted."))</f>
        <v/>
      </c>
      <c r="F250" s="34"/>
      <c r="G250" s="34"/>
      <c r="H250" s="68"/>
      <c r="I250" s="71"/>
      <c r="J250" s="69">
        <f t="shared" si="4"/>
        <v>0</v>
      </c>
      <c r="K250" s="105"/>
      <c r="L250" s="105"/>
      <c r="M250" s="105"/>
      <c r="N250" s="104"/>
      <c r="O250" s="104"/>
      <c r="P250" s="104"/>
      <c r="Q250" s="104"/>
      <c r="R250" s="104"/>
      <c r="S250" s="100"/>
      <c r="T250" s="99"/>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row>
    <row r="251" spans="1:174" ht="28.5" x14ac:dyDescent="0.2">
      <c r="A251" s="83" t="s">
        <v>274</v>
      </c>
      <c r="B251" s="33" t="s">
        <v>595</v>
      </c>
      <c r="C251" s="13"/>
      <c r="D251" s="12"/>
      <c r="E251" s="52" t="str">
        <f>IF(C251="","",IF(C251="Yes","Please provide any currently effective certifications.","State any plans to obtain such compliance certifications."))</f>
        <v/>
      </c>
      <c r="F251" s="34"/>
      <c r="G251" s="34"/>
      <c r="H251" s="68"/>
      <c r="I251" s="71"/>
      <c r="J251" s="69">
        <f t="shared" si="4"/>
        <v>0</v>
      </c>
      <c r="K251" s="105"/>
      <c r="L251" s="105"/>
      <c r="M251" s="105"/>
      <c r="N251" s="104"/>
      <c r="O251" s="104"/>
      <c r="P251" s="104"/>
      <c r="Q251" s="104"/>
      <c r="R251" s="104"/>
      <c r="S251" s="100"/>
      <c r="T251" s="99"/>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row>
    <row r="252" spans="1:174" ht="56.25" customHeight="1" x14ac:dyDescent="0.2">
      <c r="A252" s="83" t="s">
        <v>284</v>
      </c>
      <c r="B252" s="33" t="s">
        <v>1105</v>
      </c>
      <c r="C252" s="13"/>
      <c r="D252" s="12"/>
      <c r="E252" s="51"/>
      <c r="F252" s="34"/>
      <c r="G252" s="34"/>
      <c r="H252" s="68"/>
      <c r="I252" s="71"/>
      <c r="J252" s="69">
        <f t="shared" si="4"/>
        <v>0</v>
      </c>
      <c r="K252" s="105"/>
      <c r="L252" s="105"/>
      <c r="M252" s="105"/>
      <c r="N252" s="104"/>
      <c r="O252" s="104"/>
      <c r="P252" s="104"/>
      <c r="Q252" s="104"/>
      <c r="R252" s="104"/>
      <c r="S252" s="100"/>
      <c r="T252" s="99"/>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row>
    <row r="253" spans="1:174" ht="28.5" x14ac:dyDescent="0.2">
      <c r="A253" s="83" t="s">
        <v>291</v>
      </c>
      <c r="B253" s="17" t="s">
        <v>1106</v>
      </c>
      <c r="C253" s="13"/>
      <c r="D253" s="12"/>
      <c r="E253" s="123" t="str">
        <f>IF(C253="","",IF(C253="Yes","Provide a detailed summary outlining the security controls implemented to protect the entity's data.",""))</f>
        <v/>
      </c>
      <c r="F253" s="34"/>
      <c r="G253" s="34"/>
      <c r="H253" s="68"/>
      <c r="I253" s="71"/>
      <c r="J253" s="69">
        <f t="shared" si="4"/>
        <v>0</v>
      </c>
      <c r="K253" s="105"/>
      <c r="L253" s="105"/>
      <c r="M253" s="105"/>
      <c r="N253" s="104" t="s">
        <v>1003</v>
      </c>
      <c r="O253" s="104" t="s">
        <v>1003</v>
      </c>
      <c r="P253" s="104" t="s">
        <v>1004</v>
      </c>
      <c r="Q253" s="104"/>
      <c r="R253" s="104"/>
      <c r="S253" s="100"/>
      <c r="T253" s="99"/>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row>
    <row r="254" spans="1:174" ht="18" x14ac:dyDescent="0.2">
      <c r="A254" s="83" t="s">
        <v>300</v>
      </c>
      <c r="B254" s="17" t="s">
        <v>75</v>
      </c>
      <c r="C254" s="13"/>
      <c r="D254" s="12"/>
      <c r="E254" s="51" t="str">
        <f>IF(C254="","",IF(C254="Yes","State the retention period for security video.","State your plans to retain video monitoring feeds."))</f>
        <v/>
      </c>
      <c r="F254" s="34"/>
      <c r="G254" s="34"/>
      <c r="H254" s="68"/>
      <c r="I254" s="71"/>
      <c r="J254" s="69">
        <f t="shared" si="4"/>
        <v>0</v>
      </c>
      <c r="K254" s="105"/>
      <c r="L254" s="105"/>
      <c r="M254" s="105"/>
      <c r="N254" s="104" t="s">
        <v>1005</v>
      </c>
      <c r="O254" s="104" t="s">
        <v>1005</v>
      </c>
      <c r="P254" s="104"/>
      <c r="Q254" s="104"/>
      <c r="R254" s="104"/>
      <c r="S254" s="100"/>
      <c r="T254" s="99"/>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row>
    <row r="255" spans="1:174" ht="18" x14ac:dyDescent="0.2">
      <c r="A255" s="83" t="s">
        <v>304</v>
      </c>
      <c r="B255" s="3" t="s">
        <v>76</v>
      </c>
      <c r="C255" s="13"/>
      <c r="D255" s="12"/>
      <c r="E255" s="51" t="str">
        <f>IF(C255="","",IF(C255="Yes","Summarize your video monitoring strategy for datacenter staff.","Describe plans to have video feed(s) monitored."))</f>
        <v/>
      </c>
      <c r="F255" s="34"/>
      <c r="G255" s="34"/>
      <c r="H255" s="68"/>
      <c r="I255" s="71"/>
      <c r="J255" s="69">
        <f t="shared" si="4"/>
        <v>0</v>
      </c>
      <c r="K255" s="105"/>
      <c r="L255" s="105"/>
      <c r="M255" s="105"/>
      <c r="N255" s="104" t="s">
        <v>1005</v>
      </c>
      <c r="O255" s="104" t="s">
        <v>1005</v>
      </c>
      <c r="P255" s="104" t="s">
        <v>1006</v>
      </c>
      <c r="Q255" s="104" t="s">
        <v>1121</v>
      </c>
      <c r="R255" s="104" t="s">
        <v>914</v>
      </c>
      <c r="S255" s="100" t="s">
        <v>915</v>
      </c>
      <c r="T255" s="99" t="s">
        <v>841</v>
      </c>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row>
    <row r="256" spans="1:174" ht="18" x14ac:dyDescent="0.2">
      <c r="A256" s="83" t="s">
        <v>314</v>
      </c>
      <c r="B256" s="3" t="s">
        <v>474</v>
      </c>
      <c r="C256" s="13"/>
      <c r="D256" s="12"/>
      <c r="E256" s="50" t="str">
        <f>IF(C256="","",IF(C256="Yes","Describe all operating systems that are not currently supported, why they still need to be used (i.e. why they cannot be updated), and methods utilized to secure and maintain them.",""))</f>
        <v/>
      </c>
      <c r="F256" s="34"/>
      <c r="G256" s="34"/>
      <c r="H256" s="68"/>
      <c r="I256" s="71"/>
      <c r="J256" s="69">
        <f t="shared" si="4"/>
        <v>0</v>
      </c>
      <c r="K256" s="105"/>
      <c r="L256" s="105"/>
      <c r="M256" s="105"/>
      <c r="N256" s="104"/>
      <c r="O256" s="104"/>
      <c r="P256" s="104"/>
      <c r="Q256" s="104"/>
      <c r="R256" s="104"/>
      <c r="S256" s="100"/>
      <c r="T256" s="99"/>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row>
    <row r="257" spans="1:174" ht="18" x14ac:dyDescent="0.2">
      <c r="A257" s="83" t="s">
        <v>317</v>
      </c>
      <c r="B257" s="3" t="s">
        <v>506</v>
      </c>
      <c r="C257" s="13"/>
      <c r="D257" s="12"/>
      <c r="E257" s="50" t="str">
        <f>IF(C257="","",IF(C257="Yes","Detail all web browsers that are not currently supported, why they still need to be used (i.e. why they cannot be updated), and methods utilized to secure and maintain them.",""))</f>
        <v/>
      </c>
      <c r="F257" s="34"/>
      <c r="G257" s="34"/>
      <c r="H257" s="68"/>
      <c r="I257" s="71"/>
      <c r="J257" s="69">
        <f t="shared" si="4"/>
        <v>0</v>
      </c>
      <c r="K257" s="105"/>
      <c r="L257" s="105"/>
      <c r="M257" s="105"/>
      <c r="N257" s="104"/>
      <c r="O257" s="104"/>
      <c r="P257" s="104"/>
      <c r="Q257" s="104"/>
      <c r="R257" s="104"/>
      <c r="S257" s="100"/>
      <c r="T257" s="99"/>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row>
    <row r="258" spans="1:174" ht="31.5" x14ac:dyDescent="0.2">
      <c r="A258" s="83" t="s">
        <v>341</v>
      </c>
      <c r="B258" s="3" t="s">
        <v>80</v>
      </c>
      <c r="C258" s="13"/>
      <c r="D258" s="12"/>
      <c r="E258" s="51" t="str">
        <f>IF(C258="","",IF(C258="Yes","Summarize the information security principles designed into the product lifecycle and how they are integrated.","Describe why security principles are not designed into the product lifecycle."))</f>
        <v/>
      </c>
      <c r="F258" s="34"/>
      <c r="G258" s="34"/>
      <c r="H258" s="68"/>
      <c r="I258" s="71"/>
      <c r="J258" s="69">
        <f t="shared" si="4"/>
        <v>0</v>
      </c>
      <c r="K258" s="105"/>
      <c r="L258" s="105"/>
      <c r="M258" s="105"/>
      <c r="N258" s="106" t="s">
        <v>1007</v>
      </c>
      <c r="O258" s="106" t="s">
        <v>1007</v>
      </c>
      <c r="P258" s="104" t="s">
        <v>1008</v>
      </c>
      <c r="Q258" s="104" t="s">
        <v>1120</v>
      </c>
      <c r="R258" s="106" t="s">
        <v>1009</v>
      </c>
      <c r="S258" s="100" t="s">
        <v>811</v>
      </c>
      <c r="T258" s="99" t="s">
        <v>672</v>
      </c>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row>
    <row r="259" spans="1:174" ht="108" x14ac:dyDescent="0.2">
      <c r="A259" s="151" t="s">
        <v>140</v>
      </c>
      <c r="B259" s="151"/>
      <c r="C259" s="122" t="str">
        <f>"Response for " &amp; C45</f>
        <v>Response for Supplier Systems</v>
      </c>
      <c r="D259" s="2" t="s">
        <v>17</v>
      </c>
      <c r="E259" s="2" t="s">
        <v>18</v>
      </c>
      <c r="F259" s="2" t="s">
        <v>338</v>
      </c>
      <c r="G259" s="2" t="s">
        <v>364</v>
      </c>
      <c r="H259" s="142" t="s">
        <v>564</v>
      </c>
      <c r="I259" s="143"/>
      <c r="J259" s="67">
        <f>SUM(J260:J275)</f>
        <v>0</v>
      </c>
      <c r="K259" s="86" t="s">
        <v>600</v>
      </c>
      <c r="L259" s="86" t="s">
        <v>601</v>
      </c>
      <c r="M259" s="86" t="s">
        <v>602</v>
      </c>
      <c r="N259" s="87" t="s">
        <v>603</v>
      </c>
      <c r="O259" s="87" t="s">
        <v>604</v>
      </c>
      <c r="P259" s="87" t="s">
        <v>605</v>
      </c>
      <c r="Q259" s="88" t="s">
        <v>1110</v>
      </c>
      <c r="R259" s="89" t="s">
        <v>608</v>
      </c>
      <c r="S259" s="87" t="s">
        <v>611</v>
      </c>
      <c r="T259" s="87" t="s">
        <v>615</v>
      </c>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row>
    <row r="260" spans="1:174" ht="47.25" x14ac:dyDescent="0.2">
      <c r="A260" s="83" t="s">
        <v>82</v>
      </c>
      <c r="B260" s="17" t="s">
        <v>337</v>
      </c>
      <c r="C260" s="13"/>
      <c r="D260" s="12"/>
      <c r="E260" s="51" t="str">
        <f>IF(C260="","",IF(C260="Yes","Describe your external application vulnerability scanning strategy and provide when the last assessment was performed","Describe any plans to implement external vulnerability scanning for your applications."))</f>
        <v/>
      </c>
      <c r="F260" s="34"/>
      <c r="G260" s="34"/>
      <c r="H260" s="68"/>
      <c r="I260" s="71"/>
      <c r="J260" s="69">
        <f t="shared" ref="J260:J277" si="5">H260*I260</f>
        <v>0</v>
      </c>
      <c r="K260" s="107" t="s">
        <v>962</v>
      </c>
      <c r="L260" s="105"/>
      <c r="M260" s="107" t="s">
        <v>1115</v>
      </c>
      <c r="N260" s="104" t="s">
        <v>647</v>
      </c>
      <c r="O260" s="104" t="s">
        <v>647</v>
      </c>
      <c r="P260" s="104" t="s">
        <v>633</v>
      </c>
      <c r="Q260" s="106" t="s">
        <v>1112</v>
      </c>
      <c r="R260" s="106" t="s">
        <v>1010</v>
      </c>
      <c r="S260" s="100" t="s">
        <v>635</v>
      </c>
      <c r="T260" s="99" t="s">
        <v>636</v>
      </c>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row>
    <row r="261" spans="1:174" ht="30" customHeight="1" x14ac:dyDescent="0.2">
      <c r="A261" s="83" t="s">
        <v>83</v>
      </c>
      <c r="B261" s="3" t="s">
        <v>85</v>
      </c>
      <c r="C261" s="13"/>
      <c r="D261" s="12"/>
      <c r="E261" s="51" t="str">
        <f>IF(C261="","",IF(C261="Yes","Summarize your vulnerability scanning strategy.","Describe plans to implement application vulnerability scanning prior to release."))</f>
        <v/>
      </c>
      <c r="F261" s="34"/>
      <c r="G261" s="34"/>
      <c r="H261" s="68"/>
      <c r="I261" s="71"/>
      <c r="J261" s="69">
        <f t="shared" si="5"/>
        <v>0</v>
      </c>
      <c r="K261" s="105"/>
      <c r="L261" s="105"/>
      <c r="M261" s="105" t="s">
        <v>1116</v>
      </c>
      <c r="N261" s="104" t="s">
        <v>1011</v>
      </c>
      <c r="O261" s="104" t="s">
        <v>1011</v>
      </c>
      <c r="P261" s="104"/>
      <c r="Q261" s="104"/>
      <c r="R261" s="104" t="s">
        <v>1012</v>
      </c>
      <c r="S261" s="100" t="s">
        <v>1013</v>
      </c>
      <c r="T261" s="99" t="s">
        <v>672</v>
      </c>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row>
    <row r="262" spans="1:174" ht="31.5" x14ac:dyDescent="0.2">
      <c r="A262" s="83" t="s">
        <v>84</v>
      </c>
      <c r="B262" s="3" t="s">
        <v>78</v>
      </c>
      <c r="C262" s="13"/>
      <c r="D262" s="12"/>
      <c r="E262" s="53" t="str">
        <f>IF(C262="","",IF(C262="Yes","Provide a list of the results and all tools utilized during static code analysis or static application security testing.","State your plans to implement static code testing practices into your environment."))</f>
        <v/>
      </c>
      <c r="F262" s="34"/>
      <c r="G262" s="34"/>
      <c r="H262" s="68"/>
      <c r="I262" s="71"/>
      <c r="J262" s="69">
        <f t="shared" si="5"/>
        <v>0</v>
      </c>
      <c r="K262" s="105"/>
      <c r="L262" s="105"/>
      <c r="M262" s="105"/>
      <c r="N262" s="104" t="s">
        <v>1011</v>
      </c>
      <c r="O262" s="104" t="s">
        <v>1011</v>
      </c>
      <c r="P262" s="104"/>
      <c r="Q262" s="104"/>
      <c r="R262" s="106" t="s">
        <v>1014</v>
      </c>
      <c r="S262" s="100" t="s">
        <v>1013</v>
      </c>
      <c r="T262" s="99"/>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row>
    <row r="263" spans="1:174" ht="63" x14ac:dyDescent="0.2">
      <c r="A263" s="83" t="s">
        <v>86</v>
      </c>
      <c r="B263" s="17" t="s">
        <v>557</v>
      </c>
      <c r="C263" s="13"/>
      <c r="D263" s="18"/>
      <c r="E263" s="51"/>
      <c r="F263" s="34"/>
      <c r="G263" s="34" t="s">
        <v>457</v>
      </c>
      <c r="H263" s="68"/>
      <c r="I263" s="71"/>
      <c r="J263" s="69">
        <f t="shared" si="5"/>
        <v>0</v>
      </c>
      <c r="K263" s="105" t="s">
        <v>962</v>
      </c>
      <c r="L263" s="105"/>
      <c r="M263" s="105"/>
      <c r="N263" s="106" t="s">
        <v>1015</v>
      </c>
      <c r="O263" s="106" t="s">
        <v>1015</v>
      </c>
      <c r="P263" s="104" t="s">
        <v>813</v>
      </c>
      <c r="Q263" s="106" t="s">
        <v>1114</v>
      </c>
      <c r="R263" s="106" t="s">
        <v>1016</v>
      </c>
      <c r="S263" s="108" t="s">
        <v>1017</v>
      </c>
      <c r="T263" s="109" t="s">
        <v>1018</v>
      </c>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row>
    <row r="264" spans="1:174" ht="47.25" x14ac:dyDescent="0.2">
      <c r="A264" s="83" t="s">
        <v>87</v>
      </c>
      <c r="B264" s="17" t="s">
        <v>1107</v>
      </c>
      <c r="C264" s="13"/>
      <c r="D264" s="18"/>
      <c r="E264" s="50" t="str">
        <f>IF(C264="","",IF(C264="Yes","Please describe in adequate detail, including timeframe for notification.",""))</f>
        <v/>
      </c>
      <c r="F264" s="34">
        <v>57</v>
      </c>
      <c r="G264" s="34" t="s">
        <v>459</v>
      </c>
      <c r="H264" s="68"/>
      <c r="I264" s="71"/>
      <c r="J264" s="69">
        <f t="shared" si="5"/>
        <v>0</v>
      </c>
      <c r="K264" s="105" t="s">
        <v>962</v>
      </c>
      <c r="L264" s="105"/>
      <c r="M264" s="105"/>
      <c r="N264" s="106" t="s">
        <v>1019</v>
      </c>
      <c r="O264" s="106" t="s">
        <v>1019</v>
      </c>
      <c r="P264" s="104" t="s">
        <v>813</v>
      </c>
      <c r="Q264" s="106" t="s">
        <v>1114</v>
      </c>
      <c r="R264" s="106" t="s">
        <v>1020</v>
      </c>
      <c r="S264" s="108" t="s">
        <v>1017</v>
      </c>
      <c r="T264" s="109" t="s">
        <v>1021</v>
      </c>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row>
    <row r="265" spans="1:174" ht="47.25" x14ac:dyDescent="0.2">
      <c r="A265" s="83" t="s">
        <v>88</v>
      </c>
      <c r="B265" s="17" t="s">
        <v>596</v>
      </c>
      <c r="C265" s="13"/>
      <c r="D265" s="18"/>
      <c r="E265" s="50" t="str">
        <f>IF(C265="","",IF(C265="Yes","Describe your process to remediate security risks identified and provide timeframe.","Describe any plans to implement a process to remediate security risks identified."))</f>
        <v/>
      </c>
      <c r="F265" s="34"/>
      <c r="G265" s="34"/>
      <c r="H265" s="68"/>
      <c r="I265" s="71"/>
      <c r="J265" s="69">
        <f t="shared" si="5"/>
        <v>0</v>
      </c>
      <c r="K265" s="105" t="s">
        <v>926</v>
      </c>
      <c r="L265" s="105"/>
      <c r="M265" s="105"/>
      <c r="N265" s="104"/>
      <c r="O265" s="104"/>
      <c r="P265" s="104"/>
      <c r="Q265" s="104"/>
      <c r="R265" s="106" t="s">
        <v>1022</v>
      </c>
      <c r="S265" s="100"/>
      <c r="T265" s="99"/>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row>
    <row r="266" spans="1:174" ht="28.5" x14ac:dyDescent="0.2">
      <c r="A266" s="83" t="s">
        <v>89</v>
      </c>
      <c r="B266" s="17" t="s">
        <v>558</v>
      </c>
      <c r="C266" s="13"/>
      <c r="D266" s="18"/>
      <c r="E266" s="50"/>
      <c r="F266" s="34"/>
      <c r="G266" s="34"/>
      <c r="H266" s="68"/>
      <c r="I266" s="71"/>
      <c r="J266" s="69">
        <f t="shared" si="5"/>
        <v>0</v>
      </c>
      <c r="K266" s="105"/>
      <c r="L266" s="105"/>
      <c r="M266" s="105" t="s">
        <v>1117</v>
      </c>
      <c r="N266" s="104" t="s">
        <v>1023</v>
      </c>
      <c r="O266" s="104" t="s">
        <v>1023</v>
      </c>
      <c r="P266" s="104" t="s">
        <v>802</v>
      </c>
      <c r="Q266" s="104" t="s">
        <v>1113</v>
      </c>
      <c r="R266" s="104" t="s">
        <v>1024</v>
      </c>
      <c r="S266" s="100"/>
      <c r="T266" s="99" t="s">
        <v>672</v>
      </c>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row>
    <row r="267" spans="1:174" ht="47.25" x14ac:dyDescent="0.2">
      <c r="A267" s="83" t="s">
        <v>238</v>
      </c>
      <c r="B267" s="3" t="s">
        <v>108</v>
      </c>
      <c r="C267" s="13"/>
      <c r="D267" s="12"/>
      <c r="E267" s="51" t="str">
        <f>IF(C267="","",IF(C267="Yes","Decribe your external system vulnerability scanning strategy, including the frequency of both types of scans.","Describe any plans to implement vulnerability scanning for your systems."))</f>
        <v/>
      </c>
      <c r="F267" s="34" t="s">
        <v>532</v>
      </c>
      <c r="G267" s="34" t="s">
        <v>452</v>
      </c>
      <c r="H267" s="68"/>
      <c r="I267" s="71"/>
      <c r="J267" s="69">
        <f t="shared" si="5"/>
        <v>0</v>
      </c>
      <c r="K267" s="105"/>
      <c r="L267" s="105"/>
      <c r="M267" s="107" t="s">
        <v>1118</v>
      </c>
      <c r="N267" s="104" t="s">
        <v>647</v>
      </c>
      <c r="O267" s="104" t="s">
        <v>647</v>
      </c>
      <c r="P267" s="104" t="s">
        <v>633</v>
      </c>
      <c r="Q267" s="106" t="s">
        <v>1112</v>
      </c>
      <c r="R267" s="106" t="s">
        <v>1010</v>
      </c>
      <c r="S267" s="100" t="s">
        <v>635</v>
      </c>
      <c r="T267" s="99" t="s">
        <v>636</v>
      </c>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row>
    <row r="268" spans="1:174" ht="31.5" x14ac:dyDescent="0.2">
      <c r="A268" s="83" t="s">
        <v>239</v>
      </c>
      <c r="B268" s="3" t="s">
        <v>109</v>
      </c>
      <c r="C268" s="13"/>
      <c r="D268" s="12"/>
      <c r="E268" s="51" t="str">
        <f>IF(C268="","",IF(C268="Yes","State the date of your most recent system external assessment.","Describe any plans to have system external assessment(s) performed on your systems."))</f>
        <v/>
      </c>
      <c r="F268" s="34"/>
      <c r="G268" s="34"/>
      <c r="H268" s="68"/>
      <c r="I268" s="71"/>
      <c r="J268" s="69">
        <f t="shared" si="5"/>
        <v>0</v>
      </c>
      <c r="K268" s="105"/>
      <c r="L268" s="105"/>
      <c r="M268" s="105" t="s">
        <v>1119</v>
      </c>
      <c r="N268" s="104" t="s">
        <v>647</v>
      </c>
      <c r="O268" s="104" t="s">
        <v>647</v>
      </c>
      <c r="P268" s="104" t="s">
        <v>633</v>
      </c>
      <c r="Q268" s="106" t="s">
        <v>1112</v>
      </c>
      <c r="R268" s="104"/>
      <c r="S268" s="100" t="s">
        <v>635</v>
      </c>
      <c r="T268" s="99" t="s">
        <v>636</v>
      </c>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row>
    <row r="269" spans="1:174" ht="31.5" x14ac:dyDescent="0.2">
      <c r="A269" s="83" t="s">
        <v>240</v>
      </c>
      <c r="B269" s="3" t="s">
        <v>90</v>
      </c>
      <c r="C269" s="13"/>
      <c r="D269" s="11"/>
      <c r="E269" s="51" t="s">
        <v>530</v>
      </c>
      <c r="F269" s="34"/>
      <c r="G269" s="34"/>
      <c r="H269" s="68"/>
      <c r="I269" s="71"/>
      <c r="J269" s="69">
        <f t="shared" si="5"/>
        <v>0</v>
      </c>
      <c r="K269" s="105"/>
      <c r="L269" s="105"/>
      <c r="M269" s="105"/>
      <c r="N269" s="104" t="s">
        <v>647</v>
      </c>
      <c r="O269" s="104" t="s">
        <v>647</v>
      </c>
      <c r="P269" s="104" t="s">
        <v>633</v>
      </c>
      <c r="Q269" s="106" t="s">
        <v>1112</v>
      </c>
      <c r="R269" s="106" t="s">
        <v>1025</v>
      </c>
      <c r="S269" s="100" t="s">
        <v>635</v>
      </c>
      <c r="T269" s="99" t="s">
        <v>636</v>
      </c>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row>
    <row r="270" spans="1:174" ht="18" x14ac:dyDescent="0.2">
      <c r="A270" s="83" t="s">
        <v>241</v>
      </c>
      <c r="B270" s="17" t="s">
        <v>1108</v>
      </c>
      <c r="C270" s="13"/>
      <c r="D270" s="12"/>
      <c r="E270" s="123" t="str">
        <f>IF(C270="","",IF(C270="Yes","Provide a reference to or attach security scan documentation.","Describe why security scan results will not be provided to the entity."))</f>
        <v/>
      </c>
      <c r="F270" s="34"/>
      <c r="G270" s="34"/>
      <c r="H270" s="68"/>
      <c r="I270" s="71"/>
      <c r="J270" s="69">
        <f t="shared" si="5"/>
        <v>0</v>
      </c>
      <c r="K270" s="105"/>
      <c r="L270" s="105"/>
      <c r="M270" s="105"/>
      <c r="N270" s="104" t="s">
        <v>647</v>
      </c>
      <c r="O270" s="104" t="s">
        <v>647</v>
      </c>
      <c r="P270" s="104"/>
      <c r="Q270" s="104"/>
      <c r="R270" s="104"/>
      <c r="S270" s="100"/>
      <c r="T270" s="99"/>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row>
    <row r="271" spans="1:174" ht="28.5" x14ac:dyDescent="0.2">
      <c r="A271" s="83" t="s">
        <v>242</v>
      </c>
      <c r="B271" s="17" t="s">
        <v>597</v>
      </c>
      <c r="C271" s="13"/>
      <c r="D271" s="12"/>
      <c r="E271" s="51" t="str">
        <f>IF(C271="","",IF(C271="Yes","Provide reference to the process or procedure to setup security testing times and scopes.","Provide a brief summary for your response."))</f>
        <v/>
      </c>
      <c r="F271" s="34"/>
      <c r="G271" s="34"/>
      <c r="H271" s="68"/>
      <c r="I271" s="71"/>
      <c r="J271" s="69">
        <f t="shared" si="5"/>
        <v>0</v>
      </c>
      <c r="K271" s="105"/>
      <c r="L271" s="105"/>
      <c r="M271" s="105"/>
      <c r="N271" s="104"/>
      <c r="O271" s="104"/>
      <c r="P271" s="104"/>
      <c r="Q271" s="104"/>
      <c r="R271" s="104"/>
      <c r="S271" s="100"/>
      <c r="T271" s="99"/>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row>
    <row r="272" spans="1:174" ht="31.5" x14ac:dyDescent="0.2">
      <c r="A272" s="83" t="s">
        <v>299</v>
      </c>
      <c r="B272" s="3" t="s">
        <v>79</v>
      </c>
      <c r="C272" s="13"/>
      <c r="D272" s="12"/>
      <c r="E272" s="53" t="str">
        <f>IF(C272="","",IF(C272="Yes","Describe testing processes, including but not limited to, development of test plans, personnel involved in the testing process, and authorized individual accountable for approval and certification of test results.","State your plans to implement software testing processes into your environment."))</f>
        <v/>
      </c>
      <c r="F272" s="34"/>
      <c r="G272" s="34" t="s">
        <v>396</v>
      </c>
      <c r="H272" s="68"/>
      <c r="I272" s="71"/>
      <c r="J272" s="69">
        <f t="shared" si="5"/>
        <v>0</v>
      </c>
      <c r="K272" s="105"/>
      <c r="L272" s="105"/>
      <c r="M272" s="105"/>
      <c r="N272" s="104" t="s">
        <v>1011</v>
      </c>
      <c r="O272" s="104" t="s">
        <v>1011</v>
      </c>
      <c r="P272" s="104"/>
      <c r="Q272" s="104"/>
      <c r="R272" s="106" t="s">
        <v>1026</v>
      </c>
      <c r="S272" s="100" t="s">
        <v>811</v>
      </c>
      <c r="T272" s="99" t="s">
        <v>672</v>
      </c>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row>
    <row r="273" spans="1:174" ht="31.5" x14ac:dyDescent="0.2">
      <c r="A273" s="83" t="s">
        <v>309</v>
      </c>
      <c r="B273" s="17" t="s">
        <v>1109</v>
      </c>
      <c r="C273" s="13"/>
      <c r="D273" s="12"/>
      <c r="E273" s="124" t="str">
        <f>IF(C273="","",IF(C273="Yes","Describe or provide a reference to/attach your software development life cycle approach, to include any attestations, assessments, or industry certifications that may apply.","Describe any plans to implement a documented SDLC."))</f>
        <v/>
      </c>
      <c r="F273" s="34"/>
      <c r="G273" s="34"/>
      <c r="H273" s="68"/>
      <c r="I273" s="71"/>
      <c r="J273" s="69">
        <f t="shared" si="5"/>
        <v>0</v>
      </c>
      <c r="K273" s="105"/>
      <c r="L273" s="105"/>
      <c r="M273" s="105"/>
      <c r="N273" s="104" t="s">
        <v>669</v>
      </c>
      <c r="O273" s="104" t="s">
        <v>669</v>
      </c>
      <c r="P273" s="104"/>
      <c r="Q273" s="104" t="s">
        <v>1111</v>
      </c>
      <c r="R273" s="106" t="s">
        <v>1027</v>
      </c>
      <c r="S273" s="100" t="s">
        <v>811</v>
      </c>
      <c r="T273" s="99" t="s">
        <v>672</v>
      </c>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row>
    <row r="274" spans="1:174" ht="18" x14ac:dyDescent="0.2">
      <c r="A274" s="83" t="s">
        <v>311</v>
      </c>
      <c r="B274" s="3" t="s">
        <v>98</v>
      </c>
      <c r="C274" s="13"/>
      <c r="D274" s="12"/>
      <c r="E274" s="53"/>
      <c r="F274" s="34"/>
      <c r="G274" s="34"/>
      <c r="H274" s="68"/>
      <c r="I274" s="71"/>
      <c r="J274" s="69">
        <f t="shared" si="5"/>
        <v>0</v>
      </c>
      <c r="K274" s="105"/>
      <c r="L274" s="105"/>
      <c r="M274" s="105"/>
      <c r="N274" s="104" t="s">
        <v>1011</v>
      </c>
      <c r="O274" s="104" t="s">
        <v>1011</v>
      </c>
      <c r="P274" s="104"/>
      <c r="Q274" s="104"/>
      <c r="R274" s="104"/>
      <c r="S274" s="100"/>
      <c r="T274" s="99"/>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row>
    <row r="275" spans="1:174" ht="31.5" x14ac:dyDescent="0.2">
      <c r="A275" s="83" t="s">
        <v>312</v>
      </c>
      <c r="B275" s="17" t="s">
        <v>559</v>
      </c>
      <c r="C275" s="13"/>
      <c r="D275" s="11"/>
      <c r="E275" s="50" t="str">
        <f>IF(C275="","",IF(C275="Yes","Please provide information on the pentetration testing (i.e., when was the test conducted, key findings, etc.).","Please detail any current plans to conduct third-party penetration testing."))</f>
        <v/>
      </c>
      <c r="F275" s="34"/>
      <c r="G275" s="34"/>
      <c r="H275" s="68"/>
      <c r="I275" s="71"/>
      <c r="J275" s="69">
        <f t="shared" si="5"/>
        <v>0</v>
      </c>
      <c r="K275" s="105"/>
      <c r="L275" s="105"/>
      <c r="M275" s="105"/>
      <c r="N275" s="104"/>
      <c r="O275" s="104" t="s">
        <v>1028</v>
      </c>
      <c r="P275" s="104"/>
      <c r="Q275" s="104"/>
      <c r="R275" s="106" t="s">
        <v>1029</v>
      </c>
      <c r="S275" s="100"/>
      <c r="T275" s="99" t="s">
        <v>1030</v>
      </c>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row>
    <row r="276" spans="1:174" ht="108" x14ac:dyDescent="0.2">
      <c r="A276" s="151" t="s">
        <v>127</v>
      </c>
      <c r="B276" s="151"/>
      <c r="C276" s="122" t="str">
        <f>"Response for " &amp; C45</f>
        <v>Response for Supplier Systems</v>
      </c>
      <c r="D276" s="2" t="s">
        <v>17</v>
      </c>
      <c r="E276" s="2" t="s">
        <v>18</v>
      </c>
      <c r="F276" s="2" t="s">
        <v>338</v>
      </c>
      <c r="G276" s="2" t="s">
        <v>364</v>
      </c>
      <c r="H276" s="142" t="s">
        <v>564</v>
      </c>
      <c r="I276" s="143"/>
      <c r="J276" s="67">
        <f>J277</f>
        <v>0</v>
      </c>
      <c r="K276" s="86" t="s">
        <v>600</v>
      </c>
      <c r="L276" s="86" t="s">
        <v>601</v>
      </c>
      <c r="M276" s="86" t="s">
        <v>602</v>
      </c>
      <c r="N276" s="87" t="s">
        <v>603</v>
      </c>
      <c r="O276" s="87" t="s">
        <v>604</v>
      </c>
      <c r="P276" s="87" t="s">
        <v>605</v>
      </c>
      <c r="Q276" s="88" t="s">
        <v>1110</v>
      </c>
      <c r="R276" s="89" t="s">
        <v>608</v>
      </c>
      <c r="S276" s="87" t="s">
        <v>611</v>
      </c>
      <c r="T276" s="87" t="s">
        <v>615</v>
      </c>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row>
    <row r="277" spans="1:174" ht="28.5" x14ac:dyDescent="0.25">
      <c r="A277" s="83" t="s">
        <v>128</v>
      </c>
      <c r="B277" s="3" t="s">
        <v>130</v>
      </c>
      <c r="C277" s="12"/>
      <c r="D277" s="12"/>
      <c r="E277" s="51"/>
      <c r="F277" s="36"/>
      <c r="G277" s="37"/>
      <c r="H277" s="68"/>
      <c r="I277" s="71"/>
      <c r="J277" s="69">
        <f t="shared" si="5"/>
        <v>0</v>
      </c>
      <c r="K277" s="102"/>
      <c r="L277" s="102"/>
      <c r="M277" s="102"/>
      <c r="N277" s="95"/>
      <c r="O277" s="95"/>
      <c r="P277" s="95"/>
      <c r="Q277" s="95"/>
      <c r="R277" s="95"/>
      <c r="S277" s="96"/>
      <c r="T277" s="97"/>
      <c r="FR277"/>
    </row>
  </sheetData>
  <mergeCells count="71">
    <mergeCell ref="T44:T45"/>
    <mergeCell ref="H2:J2"/>
    <mergeCell ref="K44:M45"/>
    <mergeCell ref="N44:Q45"/>
    <mergeCell ref="R44:R45"/>
    <mergeCell ref="S44:S45"/>
    <mergeCell ref="H6:J45"/>
    <mergeCell ref="H4:J4"/>
    <mergeCell ref="A2:B2"/>
    <mergeCell ref="A42:G42"/>
    <mergeCell ref="C40:G40"/>
    <mergeCell ref="A46:B46"/>
    <mergeCell ref="A77:B77"/>
    <mergeCell ref="A43:G44"/>
    <mergeCell ref="A40:B40"/>
    <mergeCell ref="A41:B41"/>
    <mergeCell ref="A61:B61"/>
    <mergeCell ref="C41:G41"/>
    <mergeCell ref="A45:B45"/>
    <mergeCell ref="C45:D45"/>
    <mergeCell ref="C14:G14"/>
    <mergeCell ref="C7:G7"/>
    <mergeCell ref="C8:G8"/>
    <mergeCell ref="C9:G9"/>
    <mergeCell ref="A1:D1"/>
    <mergeCell ref="A26:E26"/>
    <mergeCell ref="B39:E39"/>
    <mergeCell ref="C23:G23"/>
    <mergeCell ref="C24:G24"/>
    <mergeCell ref="A25:G25"/>
    <mergeCell ref="C2:G2"/>
    <mergeCell ref="A4:G4"/>
    <mergeCell ref="A3:G3"/>
    <mergeCell ref="A5:G5"/>
    <mergeCell ref="C6:G6"/>
    <mergeCell ref="C11:G11"/>
    <mergeCell ref="C12:G12"/>
    <mergeCell ref="C17:G17"/>
    <mergeCell ref="C15:G15"/>
    <mergeCell ref="C16:G16"/>
    <mergeCell ref="A276:B276"/>
    <mergeCell ref="A182:B182"/>
    <mergeCell ref="A208:B208"/>
    <mergeCell ref="A221:B221"/>
    <mergeCell ref="A232:B232"/>
    <mergeCell ref="A259:B259"/>
    <mergeCell ref="A142:B142"/>
    <mergeCell ref="A157:B157"/>
    <mergeCell ref="A121:B121"/>
    <mergeCell ref="A91:B91"/>
    <mergeCell ref="H142:I142"/>
    <mergeCell ref="H157:I157"/>
    <mergeCell ref="H77:I77"/>
    <mergeCell ref="H91:I91"/>
    <mergeCell ref="H121:I121"/>
    <mergeCell ref="H5:I5"/>
    <mergeCell ref="H46:I46"/>
    <mergeCell ref="H61:I61"/>
    <mergeCell ref="C10:G10"/>
    <mergeCell ref="C13:G13"/>
    <mergeCell ref="C20:G20"/>
    <mergeCell ref="C21:G21"/>
    <mergeCell ref="C22:G22"/>
    <mergeCell ref="C18:G18"/>
    <mergeCell ref="C19:G19"/>
    <mergeCell ref="H276:I276"/>
    <mergeCell ref="H182:I182"/>
    <mergeCell ref="H208:I208"/>
    <mergeCell ref="H221:I221"/>
    <mergeCell ref="H232:I232"/>
    <mergeCell ref="H259:I259"/>
  </mergeCells>
  <phoneticPr fontId="31" type="noConversion"/>
  <conditionalFormatting sqref="J5 J46:J277">
    <cfRule type="cellIs" dxfId="0" priority="13" operator="lessThan">
      <formula>1</formula>
    </cfRule>
  </conditionalFormatting>
  <dataValidations count="2">
    <dataValidation type="list" allowBlank="1" showInputMessage="1" showErrorMessage="1" sqref="H62:I76 H78:I90 H122:I141 H143:I156 H158:I181 H183:I207 H209:I220 H222:I231 H233:I258 H277:I1048576 H260:I275 H47:I60 H92:I120" xr:uid="{8B351DFD-D064-4FE3-A6DD-61DFD5B3071C}">
      <formula1>"1,2,3,4,5"</formula1>
    </dataValidation>
    <dataValidation type="list" allowBlank="1" showInputMessage="1" showErrorMessage="1" sqref="C45:D45" xr:uid="{107D88C4-5F45-4345-A436-C37DB85C559C}">
      <formula1>"Supplier Systems, Supplier Product, Supplier Development Environment"</formula1>
    </dataValidation>
  </dataValidations>
  <pageMargins left="0.75" right="0.75" top="1" bottom="1" header="0.5" footer="0.5"/>
  <pageSetup paperSize="5" scale="13" fitToHeight="0" orientation="landscape" r:id="rId1"/>
  <ignoredErrors>
    <ignoredError sqref="J91 J77 J61 J121 J142 J157 J182 J208 J221 J232 J259 J276"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0</xdr:col>
                    <xdr:colOff>419100</xdr:colOff>
                    <xdr:row>25</xdr:row>
                    <xdr:rowOff>219075</xdr:rowOff>
                  </from>
                  <to>
                    <xdr:col>0</xdr:col>
                    <xdr:colOff>695325</xdr:colOff>
                    <xdr:row>27</xdr:row>
                    <xdr:rowOff>76200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0</xdr:col>
                    <xdr:colOff>419100</xdr:colOff>
                    <xdr:row>26</xdr:row>
                    <xdr:rowOff>190500</xdr:rowOff>
                  </from>
                  <to>
                    <xdr:col>0</xdr:col>
                    <xdr:colOff>695325</xdr:colOff>
                    <xdr:row>28</xdr:row>
                    <xdr:rowOff>66675</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0</xdr:col>
                    <xdr:colOff>419100</xdr:colOff>
                    <xdr:row>29</xdr:row>
                    <xdr:rowOff>190500</xdr:rowOff>
                  </from>
                  <to>
                    <xdr:col>0</xdr:col>
                    <xdr:colOff>695325</xdr:colOff>
                    <xdr:row>31</xdr:row>
                    <xdr:rowOff>57150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0</xdr:col>
                    <xdr:colOff>419100</xdr:colOff>
                    <xdr:row>28</xdr:row>
                    <xdr:rowOff>190500</xdr:rowOff>
                  </from>
                  <to>
                    <xdr:col>0</xdr:col>
                    <xdr:colOff>695325</xdr:colOff>
                    <xdr:row>30</xdr:row>
                    <xdr:rowOff>66675</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0</xdr:col>
                    <xdr:colOff>419100</xdr:colOff>
                    <xdr:row>33</xdr:row>
                    <xdr:rowOff>190500</xdr:rowOff>
                  </from>
                  <to>
                    <xdr:col>0</xdr:col>
                    <xdr:colOff>695325</xdr:colOff>
                    <xdr:row>35</xdr:row>
                    <xdr:rowOff>66675</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0</xdr:col>
                    <xdr:colOff>419100</xdr:colOff>
                    <xdr:row>34</xdr:row>
                    <xdr:rowOff>200025</xdr:rowOff>
                  </from>
                  <to>
                    <xdr:col>0</xdr:col>
                    <xdr:colOff>695325</xdr:colOff>
                    <xdr:row>36</xdr:row>
                    <xdr:rowOff>66675</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0</xdr:col>
                    <xdr:colOff>419100</xdr:colOff>
                    <xdr:row>35</xdr:row>
                    <xdr:rowOff>200025</xdr:rowOff>
                  </from>
                  <to>
                    <xdr:col>0</xdr:col>
                    <xdr:colOff>695325</xdr:colOff>
                    <xdr:row>37</xdr:row>
                    <xdr:rowOff>66675</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0</xdr:col>
                    <xdr:colOff>419100</xdr:colOff>
                    <xdr:row>27</xdr:row>
                    <xdr:rowOff>190500</xdr:rowOff>
                  </from>
                  <to>
                    <xdr:col>0</xdr:col>
                    <xdr:colOff>695325</xdr:colOff>
                    <xdr:row>29</xdr:row>
                    <xdr:rowOff>66675</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0</xdr:col>
                    <xdr:colOff>419100</xdr:colOff>
                    <xdr:row>32</xdr:row>
                    <xdr:rowOff>200025</xdr:rowOff>
                  </from>
                  <to>
                    <xdr:col>0</xdr:col>
                    <xdr:colOff>695325</xdr:colOff>
                    <xdr:row>34</xdr:row>
                    <xdr:rowOff>66675</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0</xdr:col>
                    <xdr:colOff>419100</xdr:colOff>
                    <xdr:row>36</xdr:row>
                    <xdr:rowOff>200025</xdr:rowOff>
                  </from>
                  <to>
                    <xdr:col>0</xdr:col>
                    <xdr:colOff>695325</xdr:colOff>
                    <xdr:row>38</xdr:row>
                    <xdr:rowOff>66675</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0</xdr:col>
                    <xdr:colOff>419100</xdr:colOff>
                    <xdr:row>37</xdr:row>
                    <xdr:rowOff>190500</xdr:rowOff>
                  </from>
                  <to>
                    <xdr:col>0</xdr:col>
                    <xdr:colOff>695325</xdr:colOff>
                    <xdr:row>39</xdr:row>
                    <xdr:rowOff>66675</xdr:rowOff>
                  </to>
                </anchor>
              </controlPr>
            </control>
          </mc:Choice>
        </mc:AlternateContent>
        <mc:AlternateContent xmlns:mc="http://schemas.openxmlformats.org/markup-compatibility/2006">
          <mc:Choice Requires="x14">
            <control shapeId="1056" r:id="rId15" name="Check Box 32">
              <controlPr defaultSize="0" autoFill="0" autoLine="0" autoPict="0">
                <anchor moveWithCells="1">
                  <from>
                    <xdr:col>0</xdr:col>
                    <xdr:colOff>419100</xdr:colOff>
                    <xdr:row>31</xdr:row>
                    <xdr:rowOff>180975</xdr:rowOff>
                  </from>
                  <to>
                    <xdr:col>0</xdr:col>
                    <xdr:colOff>695325</xdr:colOff>
                    <xdr:row>33</xdr:row>
                    <xdr:rowOff>47625</xdr:rowOff>
                  </to>
                </anchor>
              </controlPr>
            </control>
          </mc:Choice>
        </mc:AlternateContent>
        <mc:AlternateContent xmlns:mc="http://schemas.openxmlformats.org/markup-compatibility/2006">
          <mc:Choice Requires="x14">
            <control shapeId="1064" r:id="rId16" name="Check Box 40">
              <controlPr defaultSize="0" autoFill="0" autoLine="0" autoPict="0">
                <anchor moveWithCells="1">
                  <from>
                    <xdr:col>0</xdr:col>
                    <xdr:colOff>419100</xdr:colOff>
                    <xdr:row>30</xdr:row>
                    <xdr:rowOff>180975</xdr:rowOff>
                  </from>
                  <to>
                    <xdr:col>0</xdr:col>
                    <xdr:colOff>695325</xdr:colOff>
                    <xdr:row>32</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60353F1-9BEA-4E78-838E-41DD93D0A9E2}">
          <x14:formula1>
            <xm:f>Lists!$C$1:$C$3</xm:f>
          </x14:formula1>
          <xm:sqref>C47 C65:C74 C270:C275 C82:C87 C89:C90 C114:C115 C205:C207 C224:C231 C150:C156 C119:C120 C78:C80 C183:C201 C203 C222 C143:C148 C158:C166 C168:C169 C171:C175 C209:C220 C122:C141 C93:C111 C233:C258 C177:C179 C181 C260:C268 C54:C59 C117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98D5C7C3B2B249839A104674107963" ma:contentTypeVersion="8" ma:contentTypeDescription="Create a new document." ma:contentTypeScope="" ma:versionID="59a43823d759cf63f5bcc24017d627fc">
  <xsd:schema xmlns:xsd="http://www.w3.org/2001/XMLSchema" xmlns:xs="http://www.w3.org/2001/XMLSchema" xmlns:p="http://schemas.microsoft.com/office/2006/metadata/properties" xmlns:ns2="8316316d-c7e1-4681-aa1c-16b915ae9361" targetNamespace="http://schemas.microsoft.com/office/2006/metadata/properties" ma:root="true" ma:fieldsID="309ad4e2a76790bf52d2aee669b6b3be" ns2:_="">
    <xsd:import namespace="8316316d-c7e1-4681-aa1c-16b915ae93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16316d-c7e1-4681-aa1c-16b915ae93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330AFE-EE77-4D17-BEE5-D03312FE0F78}">
  <ds:schemaRefs>
    <ds:schemaRef ds:uri="http://purl.org/dc/terms/"/>
    <ds:schemaRef ds:uri="8316316d-c7e1-4681-aa1c-16b915ae9361"/>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179641E-2D16-45F0-A899-012B3F21D1F5}">
  <ds:schemaRefs>
    <ds:schemaRef ds:uri="http://schemas.microsoft.com/sharepoint/v3/contenttype/forms"/>
  </ds:schemaRefs>
</ds:datastoreItem>
</file>

<file path=customXml/itemProps3.xml><?xml version="1.0" encoding="utf-8"?>
<ds:datastoreItem xmlns:ds="http://schemas.openxmlformats.org/officeDocument/2006/customXml" ds:itemID="{6256CEED-19AF-4BCF-B279-198EEE6B08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16316d-c7e1-4681-aa1c-16b915ae9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Lists</vt:lpstr>
      <vt:lpstr>Confidentiality</vt:lpstr>
      <vt:lpstr>Change Log</vt:lpstr>
      <vt:lpstr>Questions</vt:lpstr>
    </vt:vector>
  </TitlesOfParts>
  <Manager/>
  <Company>North American Transmission Forum</Company>
  <LinksUpToDate>false</LinksUpToDate>
  <SharedDoc>false</SharedDoc>
  <HyperlinkBase>https://www.natf.net/industry-initiatives/supply-chain-industry-coordination</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Sector Supply Chain Risk Questionnaire</dc:title>
  <dc:subject>Energy Sector Supply Chain Risk Questionnaire</dc:subject>
  <dc:creator>David James Earley</dc:creator>
  <cp:keywords>supply chain; questionnaire</cp:keywords>
  <dc:description>Copyright © 2025 North American Transmission Forum (“NATF”). All rights reserved. The NATF permits the use of the content contained herein (“Content”) without modification; however, any such use must include this notice and reference the associated NATF document name and version number. The Content is provided on an “as is” basis. The NATF makes no and hereby disclaims all representations or warranties, either express or implied, relating to the Content. No liability is assumed by the NATF for any damages arising directly or indirectly from the Content or use thereof. Use of the Content constitutes agreement to defend, indemnify, and hold the NATF harmless from and against all claims arising from such use.</dc:description>
  <cp:lastModifiedBy/>
  <cp:revision>0</cp:revision>
  <dcterms:created xsi:type="dcterms:W3CDTF">2020-03-09T13:09:21Z</dcterms:created>
  <dcterms:modified xsi:type="dcterms:W3CDTF">2025-05-30T18:51:43Z</dcterms:modified>
  <cp:category>Open Distribution for Supply Chain Materials</cp:category>
  <dc:language>English</dc:language>
  <cp:version>6.0</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 ID">
    <vt:i4>1394</vt:i4>
  </property>
</Properties>
</file>