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42056B31-8554-4D3B-8DCC-D580224751C3}" xr6:coauthVersionLast="47" xr6:coauthVersionMax="47" xr10:uidLastSave="{00000000-0000-0000-0000-000000000000}"/>
  <bookViews>
    <workbookView xWindow="-120" yWindow="-120" windowWidth="29040" windowHeight="15720" firstSheet="1" activeTab="3" xr2:uid="{00000000-000D-0000-FFFF-FFFF00000000}"/>
  </bookViews>
  <sheets>
    <sheet name="Lists" sheetId="5" state="hidden" r:id="rId1"/>
    <sheet name="Confidentiality" sheetId="6" r:id="rId2"/>
    <sheet name="Change Log" sheetId="8" r:id="rId3"/>
    <sheet name="Questions" sheetId="1" r:id="rId4"/>
  </sheets>
  <definedNames>
    <definedName name="_xlnm._FilterDatabase" localSheetId="3" hidden="1">Questions!$A$1:$FT$277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0" i="1" l="1"/>
  <c r="G253" i="1"/>
  <c r="G203" i="1"/>
  <c r="G159" i="1"/>
  <c r="G150" i="1"/>
  <c r="G138" i="1"/>
  <c r="G137" i="1"/>
  <c r="G136" i="1"/>
  <c r="G128" i="1"/>
  <c r="G71" i="1"/>
  <c r="C276" i="1" l="1"/>
  <c r="C259" i="1"/>
  <c r="C232" i="1"/>
  <c r="C221" i="1"/>
  <c r="C208" i="1"/>
  <c r="C182" i="1"/>
  <c r="C157" i="1"/>
  <c r="C142" i="1"/>
  <c r="C121" i="1"/>
  <c r="C91" i="1"/>
  <c r="C77" i="1"/>
  <c r="C61" i="1"/>
  <c r="C46" i="1"/>
  <c r="G273" i="1"/>
  <c r="G117" i="1" l="1"/>
  <c r="G134" i="1"/>
  <c r="G125" i="1"/>
  <c r="G85" i="1" l="1"/>
  <c r="L107" i="1"/>
  <c r="G107" i="1"/>
  <c r="G265" i="1"/>
  <c r="G209" i="1"/>
  <c r="G247" i="1"/>
  <c r="G111" i="1"/>
  <c r="G264" i="1"/>
  <c r="G122" i="1"/>
  <c r="G73" i="1"/>
  <c r="G72" i="1"/>
  <c r="L277" i="1"/>
  <c r="L276" i="1" s="1"/>
  <c r="L275" i="1"/>
  <c r="L274" i="1"/>
  <c r="L273" i="1"/>
  <c r="L272" i="1"/>
  <c r="L271" i="1"/>
  <c r="L270" i="1"/>
  <c r="L269" i="1"/>
  <c r="L268" i="1"/>
  <c r="L267" i="1"/>
  <c r="L266" i="1"/>
  <c r="L265" i="1"/>
  <c r="L264" i="1"/>
  <c r="L263" i="1"/>
  <c r="L262" i="1"/>
  <c r="L261" i="1"/>
  <c r="L260"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1" i="1"/>
  <c r="L230" i="1"/>
  <c r="L229" i="1"/>
  <c r="L228" i="1"/>
  <c r="L227" i="1"/>
  <c r="L226" i="1"/>
  <c r="L225" i="1"/>
  <c r="L224" i="1"/>
  <c r="L223" i="1"/>
  <c r="L222" i="1"/>
  <c r="L220" i="1"/>
  <c r="L219" i="1"/>
  <c r="L218" i="1"/>
  <c r="L217" i="1"/>
  <c r="L216" i="1"/>
  <c r="L215" i="1"/>
  <c r="L214" i="1"/>
  <c r="L213" i="1"/>
  <c r="L212" i="1"/>
  <c r="L211" i="1"/>
  <c r="L210" i="1"/>
  <c r="L209"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1" i="1"/>
  <c r="L180" i="1"/>
  <c r="L179" i="1"/>
  <c r="L178" i="1"/>
  <c r="L177" i="1"/>
  <c r="L176" i="1"/>
  <c r="L175" i="1"/>
  <c r="L174" i="1"/>
  <c r="L173" i="1"/>
  <c r="L172" i="1"/>
  <c r="L171" i="1"/>
  <c r="L170" i="1"/>
  <c r="L169" i="1"/>
  <c r="L168" i="1"/>
  <c r="L167" i="1"/>
  <c r="L166" i="1"/>
  <c r="L165" i="1"/>
  <c r="L164" i="1"/>
  <c r="L163" i="1"/>
  <c r="L162" i="1"/>
  <c r="L161" i="1"/>
  <c r="L160" i="1"/>
  <c r="L159" i="1"/>
  <c r="L158" i="1"/>
  <c r="L156" i="1"/>
  <c r="L155" i="1"/>
  <c r="L154" i="1"/>
  <c r="L153" i="1"/>
  <c r="L152" i="1"/>
  <c r="L151" i="1"/>
  <c r="L150" i="1"/>
  <c r="L149" i="1"/>
  <c r="L148" i="1"/>
  <c r="L147" i="1"/>
  <c r="L146" i="1"/>
  <c r="L145" i="1"/>
  <c r="L144" i="1"/>
  <c r="L143" i="1"/>
  <c r="L141" i="1"/>
  <c r="L140" i="1"/>
  <c r="L139" i="1"/>
  <c r="L138" i="1"/>
  <c r="L137" i="1"/>
  <c r="L136" i="1"/>
  <c r="L135" i="1"/>
  <c r="L134" i="1"/>
  <c r="L133" i="1"/>
  <c r="L132" i="1"/>
  <c r="L131" i="1"/>
  <c r="L130" i="1"/>
  <c r="L129" i="1"/>
  <c r="L128" i="1"/>
  <c r="L127" i="1"/>
  <c r="L126" i="1"/>
  <c r="L125" i="1"/>
  <c r="L124" i="1"/>
  <c r="L123" i="1"/>
  <c r="L122" i="1"/>
  <c r="L120" i="1"/>
  <c r="L119" i="1"/>
  <c r="L118" i="1"/>
  <c r="L117" i="1"/>
  <c r="L116" i="1"/>
  <c r="L115" i="1"/>
  <c r="L114" i="1"/>
  <c r="L113" i="1"/>
  <c r="L112" i="1"/>
  <c r="L111" i="1"/>
  <c r="L110" i="1"/>
  <c r="L109" i="1"/>
  <c r="L108" i="1"/>
  <c r="L106" i="1"/>
  <c r="L105" i="1"/>
  <c r="L104" i="1"/>
  <c r="L103" i="1"/>
  <c r="L102" i="1"/>
  <c r="L101" i="1"/>
  <c r="L100" i="1"/>
  <c r="L99" i="1"/>
  <c r="L98" i="1"/>
  <c r="L97" i="1"/>
  <c r="L96" i="1"/>
  <c r="L95" i="1"/>
  <c r="L94" i="1"/>
  <c r="L93" i="1"/>
  <c r="L92" i="1"/>
  <c r="L90" i="1"/>
  <c r="L89" i="1"/>
  <c r="L88" i="1"/>
  <c r="L87" i="1"/>
  <c r="L86" i="1"/>
  <c r="L85" i="1"/>
  <c r="L84" i="1"/>
  <c r="L83" i="1"/>
  <c r="L82" i="1"/>
  <c r="L81" i="1"/>
  <c r="L80" i="1"/>
  <c r="L79" i="1"/>
  <c r="L78" i="1"/>
  <c r="L76" i="1"/>
  <c r="L75" i="1"/>
  <c r="L74" i="1"/>
  <c r="L73" i="1"/>
  <c r="L72" i="1"/>
  <c r="L71" i="1"/>
  <c r="L70" i="1"/>
  <c r="L69" i="1"/>
  <c r="L68" i="1"/>
  <c r="L67" i="1"/>
  <c r="L66" i="1"/>
  <c r="L65" i="1"/>
  <c r="L64" i="1"/>
  <c r="L63" i="1"/>
  <c r="L62" i="1"/>
  <c r="L60" i="1"/>
  <c r="L59" i="1"/>
  <c r="L58" i="1"/>
  <c r="L57" i="1"/>
  <c r="L56" i="1"/>
  <c r="L55" i="1"/>
  <c r="L54" i="1"/>
  <c r="L53" i="1"/>
  <c r="L52" i="1"/>
  <c r="L51" i="1"/>
  <c r="L50" i="1"/>
  <c r="L49" i="1"/>
  <c r="L48" i="1"/>
  <c r="L47" i="1"/>
  <c r="G262" i="1"/>
  <c r="G275" i="1"/>
  <c r="L91" i="1" l="1"/>
  <c r="L142" i="1"/>
  <c r="L77" i="1"/>
  <c r="L61" i="1"/>
  <c r="L221" i="1"/>
  <c r="L121" i="1"/>
  <c r="L208" i="1"/>
  <c r="L46" i="1"/>
  <c r="L182" i="1"/>
  <c r="L157" i="1"/>
  <c r="L232" i="1"/>
  <c r="L259" i="1"/>
  <c r="L5" i="1" l="1"/>
  <c r="G79" i="1"/>
  <c r="G78" i="1" l="1"/>
  <c r="G251" i="1" l="1"/>
  <c r="G228" i="1"/>
  <c r="G135" i="1"/>
  <c r="G120" i="1"/>
  <c r="G99" i="1"/>
  <c r="G98" i="1"/>
  <c r="G260" i="1"/>
  <c r="G189" i="1"/>
  <c r="G130" i="1"/>
  <c r="G95" i="1"/>
  <c r="G69" i="1"/>
  <c r="G68" i="1"/>
  <c r="G67" i="1"/>
  <c r="G66" i="1"/>
  <c r="G65" i="1"/>
  <c r="G58" i="1"/>
  <c r="G115" i="1" l="1"/>
  <c r="G126" i="1" l="1"/>
  <c r="G272" i="1" l="1"/>
  <c r="G271" i="1"/>
  <c r="G268" i="1"/>
  <c r="G267" i="1"/>
  <c r="G261" i="1"/>
  <c r="G258" i="1"/>
  <c r="G257" i="1"/>
  <c r="G256" i="1"/>
  <c r="G255" i="1"/>
  <c r="G254" i="1"/>
  <c r="G250" i="1"/>
  <c r="G249" i="1"/>
  <c r="G248" i="1"/>
  <c r="G245" i="1"/>
  <c r="G241" i="1"/>
  <c r="G236" i="1"/>
  <c r="G235" i="1"/>
  <c r="G234" i="1"/>
  <c r="G233" i="1"/>
  <c r="G231" i="1"/>
  <c r="G230" i="1"/>
  <c r="G229" i="1"/>
  <c r="G227" i="1"/>
  <c r="G226" i="1"/>
  <c r="G225" i="1"/>
  <c r="G224" i="1"/>
  <c r="G219" i="1"/>
  <c r="G213" i="1"/>
  <c r="G205" i="1"/>
  <c r="G201" i="1"/>
  <c r="G199" i="1"/>
  <c r="G198" i="1"/>
  <c r="G197" i="1"/>
  <c r="G195" i="1"/>
  <c r="G194" i="1"/>
  <c r="G193" i="1"/>
  <c r="G192" i="1"/>
  <c r="G190" i="1"/>
  <c r="G186" i="1"/>
  <c r="G185" i="1"/>
  <c r="G183" i="1"/>
  <c r="G173" i="1"/>
  <c r="G171" i="1"/>
  <c r="G169" i="1"/>
  <c r="G168" i="1"/>
  <c r="G166" i="1"/>
  <c r="G165" i="1"/>
  <c r="G164" i="1"/>
  <c r="G162" i="1"/>
  <c r="G160" i="1"/>
  <c r="G158" i="1"/>
  <c r="G156" i="1"/>
  <c r="G155" i="1"/>
  <c r="G154" i="1"/>
  <c r="G153" i="1"/>
  <c r="G152" i="1"/>
  <c r="G151" i="1"/>
  <c r="G148" i="1"/>
  <c r="G147" i="1"/>
  <c r="G144" i="1"/>
  <c r="G143" i="1"/>
  <c r="G140" i="1"/>
  <c r="G139" i="1"/>
  <c r="G133" i="1"/>
  <c r="G127" i="1"/>
  <c r="G124" i="1"/>
  <c r="G123" i="1"/>
  <c r="G119" i="1"/>
  <c r="G114" i="1"/>
  <c r="G110" i="1"/>
  <c r="G109" i="1"/>
  <c r="G108" i="1"/>
  <c r="G105" i="1"/>
  <c r="G104" i="1"/>
  <c r="G103" i="1"/>
  <c r="G102" i="1"/>
  <c r="G100" i="1"/>
  <c r="G94" i="1"/>
  <c r="G93" i="1"/>
  <c r="G90" i="1"/>
  <c r="G89" i="1"/>
  <c r="G86" i="1"/>
  <c r="G59" i="1"/>
  <c r="G54" i="1"/>
</calcChain>
</file>

<file path=xl/sharedStrings.xml><?xml version="1.0" encoding="utf-8"?>
<sst xmlns="http://schemas.openxmlformats.org/spreadsheetml/2006/main" count="1959" uniqueCount="1234">
  <si>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</si>
  <si>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</si>
  <si>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</si>
  <si>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</si>
  <si>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</si>
  <si>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</si>
  <si>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</si>
  <si>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</si>
  <si>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</si>
  <si>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</si>
  <si>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</si>
  <si>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</si>
  <si>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</si>
  <si>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</si>
  <si>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</si>
  <si>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</si>
  <si>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</si>
  <si>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Additional Information</t>
  </si>
  <si>
    <t>Guidance</t>
  </si>
  <si>
    <t>Company Overview</t>
  </si>
  <si>
    <t>Describe your organization’s business background and ownership structure, including all parent and subsidiary relationships.</t>
  </si>
  <si>
    <t>Include circumstances that may involve off-shoring or multi-national agreements.</t>
  </si>
  <si>
    <t>COMP-02</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</si>
  <si>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</si>
  <si>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</si>
  <si>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</si>
  <si>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</si>
  <si>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</si>
  <si>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</si>
  <si>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</si>
  <si>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</si>
  <si>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</si>
  <si>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</si>
  <si>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</si>
  <si>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</si>
  <si>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</si>
  <si>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</si>
  <si>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</si>
  <si>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</si>
  <si>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</si>
  <si>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</si>
  <si>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</si>
  <si>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</si>
  <si>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</si>
  <si>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</si>
  <si>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</si>
  <si>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</si>
  <si>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</si>
  <si>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</si>
  <si>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</si>
  <si>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</si>
  <si>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</si>
  <si>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</si>
  <si>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</si>
  <si>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</si>
  <si>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</si>
  <si>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</si>
  <si>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</si>
  <si>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</si>
  <si>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</si>
  <si>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</si>
  <si>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</si>
  <si>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</si>
  <si>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</si>
  <si>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</si>
  <si>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</si>
  <si>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</si>
  <si>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</si>
  <si>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</si>
  <si>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</si>
  <si>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</si>
  <si>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</si>
  <si>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</si>
  <si>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</si>
  <si>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</si>
  <si>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</si>
  <si>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</si>
  <si>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</si>
  <si>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</si>
  <si>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</si>
  <si>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</si>
  <si>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</si>
  <si>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</si>
  <si>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</si>
  <si>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</si>
  <si>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</si>
  <si>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VULN-05</t>
  </si>
  <si>
    <t>VULN-06</t>
  </si>
  <si>
    <t>VULN-07</t>
  </si>
  <si>
    <t>VULN-08</t>
  </si>
  <si>
    <t xml:space="preserve">Describe or provide a reference to the tool(s) used to scan for vulnerabilities in your applications and systems. </t>
  </si>
  <si>
    <t>Personally Identifiable Information (PII)</t>
  </si>
  <si>
    <t>Credit Card Data/PCI</t>
  </si>
  <si>
    <t xml:space="preserve">Payroll Records </t>
  </si>
  <si>
    <t>Financial Records (e.g., budgetary, Form 10-k)</t>
  </si>
  <si>
    <t>Litigation related information</t>
  </si>
  <si>
    <t>Software source code</t>
  </si>
  <si>
    <t>Is the application available from a trusted source (e.g., iTunes App Store, Google Play Store, BB World)?</t>
  </si>
  <si>
    <t>Are all code artifacts run through automated validation of production-readiness?</t>
  </si>
  <si>
    <t>Product Development Systems</t>
  </si>
  <si>
    <t>Can employees associated with the computing system access customer data/systems remotely?</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</si>
  <si>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</si>
  <si>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</si>
  <si>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</si>
  <si>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</si>
  <si>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</si>
  <si>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</si>
  <si>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</si>
  <si>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</si>
  <si>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your computing systems scanned externally and internally for vulnerabilities?</t>
  </si>
  <si>
    <t>Have your computing systems had an vulnerability assessment in the last year?</t>
  </si>
  <si>
    <t>Are there any regulatory requirements regarding the data to be provided to the third party? If so, please describe.</t>
  </si>
  <si>
    <t>Yes</t>
  </si>
  <si>
    <t>No</t>
  </si>
  <si>
    <t>Not Applicable</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</si>
  <si>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</si>
  <si>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</si>
  <si>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</si>
  <si>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</si>
  <si>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</si>
  <si>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</si>
  <si>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</si>
  <si>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</si>
  <si>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</si>
  <si>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</si>
  <si>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</si>
  <si>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Describe your authentication and authorization processes.</t>
  </si>
  <si>
    <t>Are structured databases encrypted?</t>
  </si>
  <si>
    <t>Additional Comments</t>
  </si>
  <si>
    <t>AC-1</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</si>
  <si>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</si>
  <si>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</si>
  <si>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</si>
  <si>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</si>
  <si>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</si>
  <si>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</si>
  <si>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</si>
  <si>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</si>
  <si>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</si>
  <si>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</si>
  <si>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</si>
  <si>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</si>
  <si>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</si>
  <si>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</si>
  <si>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</si>
  <si>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</si>
  <si>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</si>
  <si>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</si>
  <si>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</si>
  <si>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</si>
  <si>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</si>
  <si>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</si>
  <si>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</si>
  <si>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</si>
  <si>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</si>
  <si>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</si>
  <si>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</si>
  <si>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</si>
  <si>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</si>
  <si>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</si>
  <si>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</si>
  <si>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</si>
  <si>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</si>
  <si>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</si>
  <si>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</si>
  <si>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</si>
  <si>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</si>
  <si>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</si>
  <si>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</si>
  <si>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</si>
  <si>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</si>
  <si>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</si>
  <si>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</si>
  <si>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</si>
  <si>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</si>
  <si>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</si>
  <si>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</si>
  <si>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</si>
  <si>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</si>
  <si>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</si>
  <si>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</si>
  <si>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</si>
  <si>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</si>
  <si>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</si>
  <si>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</si>
  <si>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</si>
  <si>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</si>
  <si>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</si>
  <si>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</si>
  <si>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</si>
  <si>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</si>
  <si>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</si>
  <si>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</si>
  <si>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</si>
  <si>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</si>
  <si>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</si>
  <si>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</si>
  <si>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</si>
  <si>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</si>
  <si>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</si>
  <si>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</si>
  <si>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</si>
  <si>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</si>
  <si>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</si>
  <si>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</si>
  <si>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</si>
  <si>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</si>
  <si>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</si>
  <si>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</si>
  <si>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</si>
  <si>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</si>
  <si>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</si>
  <si>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</si>
  <si>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</si>
  <si>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</si>
  <si>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</si>
  <si>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</si>
  <si>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</si>
  <si>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</si>
  <si>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</si>
  <si>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</si>
  <si>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</si>
  <si>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</si>
  <si>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</si>
  <si>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</si>
  <si>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</si>
  <si>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</si>
  <si>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</si>
  <si>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</si>
  <si>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</si>
  <si>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</si>
  <si>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</si>
  <si>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</si>
  <si>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</si>
  <si>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</si>
  <si>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</si>
  <si>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</si>
  <si>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</si>
  <si>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</si>
  <si>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</si>
  <si>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</si>
  <si>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</si>
  <si>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</si>
  <si>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</si>
  <si>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</si>
  <si>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</si>
  <si>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</si>
  <si>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RISK-15</t>
  </si>
  <si>
    <t>Share any details that would help information security analysts assess your product/services.</t>
  </si>
  <si>
    <t>Please include failover and disaster recovery sites.</t>
  </si>
  <si>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</si>
  <si>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</si>
  <si>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</si>
  <si>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</si>
  <si>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</si>
  <si>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</si>
  <si>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</si>
  <si>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</si>
  <si>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</si>
  <si>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</si>
  <si>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</si>
  <si>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</si>
  <si>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</si>
  <si>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</si>
  <si>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</si>
  <si>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</si>
  <si>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</si>
  <si>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</si>
  <si>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</si>
  <si>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</si>
  <si>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</si>
  <si>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</si>
  <si>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</si>
  <si>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</si>
  <si>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</si>
  <si>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</si>
  <si>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</si>
  <si>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</si>
  <si>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</si>
  <si>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</si>
  <si>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</si>
  <si>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</si>
  <si>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</si>
  <si>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IAM-25</t>
  </si>
  <si>
    <t>IAM-27</t>
  </si>
  <si>
    <t>RISK-20</t>
  </si>
  <si>
    <t>EIR-05</t>
  </si>
  <si>
    <t>EIR-06</t>
  </si>
  <si>
    <t>EIR-04</t>
  </si>
  <si>
    <t>EIR-07</t>
  </si>
  <si>
    <t>EIR-08</t>
  </si>
  <si>
    <t>EIR-09</t>
  </si>
  <si>
    <t>RISK-21</t>
  </si>
  <si>
    <t>THRD-13</t>
  </si>
  <si>
    <t>Does your information protection program include safeguards and notifications regarding the release of data to third parties?</t>
  </si>
  <si>
    <t>DATA-19</t>
  </si>
  <si>
    <t>DATA-20</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</si>
  <si>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</si>
  <si>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</si>
  <si>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</si>
  <si>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</si>
  <si>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</si>
  <si>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</si>
  <si>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</si>
  <si>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</si>
  <si>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</si>
  <si>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</si>
  <si>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CSPM-19</t>
  </si>
  <si>
    <t>CHNG-14</t>
  </si>
  <si>
    <t>Do you provide a specific list of, and justifications for, required logical ports (which may include limited ranges) and services required for its deliverables (either products or services)?</t>
  </si>
  <si>
    <t>VULN-16</t>
  </si>
  <si>
    <t>Please summarize the technical controls in "Additional Information."</t>
  </si>
  <si>
    <t>VULN-17</t>
  </si>
  <si>
    <t>VULN-18</t>
  </si>
  <si>
    <t>IAM-28</t>
  </si>
  <si>
    <t>RISK-25</t>
  </si>
  <si>
    <t>THRD-15</t>
  </si>
  <si>
    <t>Do you require your applicable third parties to have a designated privacy function responsible for its privacy policy and program as it relates to Privacy Data?</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</si>
  <si>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</si>
  <si>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</si>
  <si>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</si>
  <si>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</si>
  <si>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</si>
  <si>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</si>
  <si>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</si>
  <si>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</si>
  <si>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</si>
  <si>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</si>
  <si>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</si>
  <si>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</si>
  <si>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</si>
  <si>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</si>
  <si>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</si>
  <si>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</si>
  <si>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</si>
  <si>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Do you have a program through which you regularly exercise your incident response plan and make corrective actions based on issues identified during the exercise or during actual activation of the plan?</t>
  </si>
  <si>
    <t>Do you have a process through which you investigate whether computer viruses or malware are present in any software or patches before providing such software or patches?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</si>
  <si>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</si>
  <si>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</si>
  <si>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</si>
  <si>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</si>
  <si>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</si>
  <si>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RISK-27</t>
  </si>
  <si>
    <t>WFM-08</t>
  </si>
  <si>
    <t>WFM-09</t>
  </si>
  <si>
    <t>WFM-10</t>
  </si>
  <si>
    <t>IAM-06</t>
  </si>
  <si>
    <t>IAM-29</t>
  </si>
  <si>
    <t>DATA-24</t>
  </si>
  <si>
    <t>DATA-25</t>
  </si>
  <si>
    <t>EIR-10</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</si>
  <si>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</si>
  <si>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</si>
  <si>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</si>
  <si>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</si>
  <si>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</si>
  <si>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</si>
  <si>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</si>
  <si>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GNRL-14</t>
  </si>
  <si>
    <t>GNRL-15</t>
  </si>
  <si>
    <t>GNRL-16</t>
  </si>
  <si>
    <t>GNRL-17</t>
  </si>
  <si>
    <t>GNRL-18</t>
  </si>
  <si>
    <t>GNRL-19</t>
  </si>
  <si>
    <t>GNRL-20</t>
  </si>
  <si>
    <t>Primary or Supporting for NATF Criteria</t>
  </si>
  <si>
    <t>Provide information on any mergers or acquisitions that have been publicly announced or completed with the last 5 years.</t>
  </si>
  <si>
    <t>Primary (22)</t>
  </si>
  <si>
    <t>Describe any other subsidiaries or divisions of identified parent organizations.</t>
  </si>
  <si>
    <t>COMP-09</t>
  </si>
  <si>
    <t>Primary (34)</t>
  </si>
  <si>
    <t>COMP-10</t>
  </si>
  <si>
    <t>Have you had pending or resolved product-related litigation in the last ten (10) years?
If yes, please provide a summary.</t>
  </si>
  <si>
    <t>COMP-11</t>
  </si>
  <si>
    <t>COMP-12</t>
  </si>
  <si>
    <t>COMP-13</t>
  </si>
  <si>
    <t>COMP-14</t>
  </si>
  <si>
    <t>COMP-15</t>
  </si>
  <si>
    <t>Supports (39)</t>
  </si>
  <si>
    <t>Supports (39, 45)</t>
  </si>
  <si>
    <t>Primary (2)</t>
  </si>
  <si>
    <t>Supports (48)</t>
  </si>
  <si>
    <t>Supports (49, 58)</t>
  </si>
  <si>
    <t>Primary (48)</t>
  </si>
  <si>
    <t>Primary (23)</t>
  </si>
  <si>
    <t>Supports (23, 59)</t>
  </si>
  <si>
    <t>Primary (39)</t>
  </si>
  <si>
    <t>Supports (55)</t>
  </si>
  <si>
    <t>Supports (4)</t>
  </si>
  <si>
    <t>Primary (3)</t>
  </si>
  <si>
    <t xml:space="preserve"> Represents 13</t>
  </si>
  <si>
    <t>Primary (11)
Supports (12)</t>
  </si>
  <si>
    <t>For access within supplier's system, does supplier revoke access when an individual no longer requires access due to change in employment status or job duties?</t>
  </si>
  <si>
    <t>Primary (12)</t>
  </si>
  <si>
    <t>Primary (10)</t>
  </si>
  <si>
    <t>Do you have a documented program for secure product development, including applying security controls and secure coding techniques, within the system development life cycle?</t>
  </si>
  <si>
    <t>Primary (47)</t>
  </si>
  <si>
    <t>Supports (47)</t>
  </si>
  <si>
    <t>WFM-11</t>
  </si>
  <si>
    <t>WFM-12</t>
  </si>
  <si>
    <t>Primary (1)</t>
  </si>
  <si>
    <t>Primary (5)
Supports (6)</t>
  </si>
  <si>
    <t>Primary (6)
Supports (7)</t>
  </si>
  <si>
    <t>Primary (8)</t>
  </si>
  <si>
    <t xml:space="preserve">Primary (7)
Supporting (6, 11, 12)
</t>
  </si>
  <si>
    <t>Primary (9)</t>
  </si>
  <si>
    <t>Primary (14)</t>
  </si>
  <si>
    <t>Primary (15)</t>
  </si>
  <si>
    <t>Primary (17)</t>
  </si>
  <si>
    <t>Primary (19)</t>
  </si>
  <si>
    <t>Primary (16)</t>
  </si>
  <si>
    <t>IAM-30</t>
  </si>
  <si>
    <t>Primary (21)
Supports (44)</t>
  </si>
  <si>
    <t>Supports (21)</t>
  </si>
  <si>
    <t>Supports (38)</t>
  </si>
  <si>
    <t>Supports (56)</t>
  </si>
  <si>
    <t>Primary (40)
Supports (2)</t>
  </si>
  <si>
    <t>Primary (46)</t>
  </si>
  <si>
    <t>Primary (24)</t>
  </si>
  <si>
    <t>Primary (54)</t>
  </si>
  <si>
    <t>Primary (58)</t>
  </si>
  <si>
    <t>Supports (53, 54)</t>
  </si>
  <si>
    <t>Primary (50)</t>
  </si>
  <si>
    <t>Primary (56)</t>
  </si>
  <si>
    <t>Supports (44)</t>
  </si>
  <si>
    <t>Supports (2)</t>
  </si>
  <si>
    <t>Supports (1)</t>
  </si>
  <si>
    <t>Primary (18)</t>
  </si>
  <si>
    <t>Primary (44)</t>
  </si>
  <si>
    <t>Primary (42)</t>
  </si>
  <si>
    <t>Supports (18)</t>
  </si>
  <si>
    <t>Supports (42)</t>
  </si>
  <si>
    <t>Primary (38)</t>
  </si>
  <si>
    <t>Primary (41)</t>
  </si>
  <si>
    <t>Primary (43)</t>
  </si>
  <si>
    <t>Primary (45)</t>
  </si>
  <si>
    <t>Primary (52)</t>
  </si>
  <si>
    <t>Primary (25)
Supporting (28, 36)</t>
  </si>
  <si>
    <t>Primary (28)</t>
  </si>
  <si>
    <t>Primary (36)</t>
  </si>
  <si>
    <t>30, 35</t>
  </si>
  <si>
    <t>Primary (30, 35)</t>
  </si>
  <si>
    <t>Supports (30, 36)</t>
  </si>
  <si>
    <t>If response plan is not exercised on an annual basis, please provide frequency.</t>
  </si>
  <si>
    <t>Primary (33)
Supports (25, 26, 34, 35)</t>
  </si>
  <si>
    <t>If response plan is not reviewed on an annual basis, please provide frequency.</t>
  </si>
  <si>
    <t>Primary (26, 31)</t>
  </si>
  <si>
    <t>Primary (32)</t>
  </si>
  <si>
    <t>Primary (27)</t>
  </si>
  <si>
    <t>Primary (29)</t>
  </si>
  <si>
    <t>Primary (60)
Supports (49)</t>
  </si>
  <si>
    <t>Supports (53, 58, 60)</t>
  </si>
  <si>
    <t>Represents 55 (with VULN-10)</t>
  </si>
  <si>
    <t>Primary (55)</t>
  </si>
  <si>
    <t>Primary (51)</t>
  </si>
  <si>
    <t>Primary (37)</t>
  </si>
  <si>
    <t>Primary (49)</t>
  </si>
  <si>
    <t>Primary (53)</t>
  </si>
  <si>
    <t>Supports (57)</t>
  </si>
  <si>
    <t>Supports (16)</t>
  </si>
  <si>
    <t>Primary (57)</t>
  </si>
  <si>
    <t>Primary (4)</t>
  </si>
  <si>
    <t>Represents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</si>
  <si>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</si>
  <si>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</si>
  <si>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</si>
  <si>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</si>
  <si>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</si>
  <si>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</si>
  <si>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</si>
  <si>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</si>
  <si>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</si>
  <si>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</si>
  <si>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</si>
  <si>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</si>
  <si>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Are there any OS (e.g., servers, PCs, switches, routers, etc.) that are not currently supported?</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</si>
  <si>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</si>
  <si>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</si>
  <si>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teams for different development and customer assistance functions (e.g., customer support, implementation, product management, etc.)?</t>
  </si>
  <si>
    <t>Describe or provide references to your third-party risk management strategy or provide additional information that may help analysts better understand your environment and how it relates to third-party solutions.</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</si>
  <si>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</si>
  <si>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</si>
  <si>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Have you established and do you maintain a security management program that validates the authenticity and origin of third-party hardware, firmware, and software including open source code?</t>
  </si>
  <si>
    <t xml:space="preserve">Do you perform background screenings or multi-state background checks, including seven-year criminal background checks, on all personnel, including employees, contractors, and subcontractors, prior to their first day of work? </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</si>
  <si>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</si>
  <si>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Do you establish and maintain an identity and access management program that ensures sustainable, secure product manufacturing and development?</t>
  </si>
  <si>
    <t>Does your computing system application support multi-factor authentication (e.g., Duo, Google Authenticator, OTP, etc.)?</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</si>
  <si>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</si>
  <si>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</si>
  <si>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</si>
  <si>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</si>
  <si>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</si>
  <si>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</si>
  <si>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</si>
  <si>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</si>
  <si>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implemented system configuration management process (e.g., secure "gold" images, etc.)?</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</si>
  <si>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</si>
  <si>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</si>
  <si>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Is appropriate segregation of duties maintained among those requesting, approving, and provisioning access?</t>
  </si>
  <si>
    <t>State and describe who has the authority to change firewall rules.</t>
  </si>
  <si>
    <t>Does your information protection program include managing and securing data at rest to ensure confidentiality, integrity, and availability (e.g., supplier implements encryption or technology to restrict access and obfuscate sensitive data)?</t>
  </si>
  <si>
    <t>Do you have a cryptographic key management process (generation, exchange, storage, safeguards, use, vetting, and replacement), that is documented and currently implemented, for all system components (e.g., database, system, web, etc.)?</t>
  </si>
  <si>
    <t>Are you performing off site backups (i.e., digitally/physically moved off site)?</t>
  </si>
  <si>
    <t>Are employee mobile devices managed by your company's mobile device management (MDM) platform?</t>
  </si>
  <si>
    <t>Do you have the ability to send automated notifications of and respond to software, patches, and firmware integrity violations?</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</si>
  <si>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</si>
  <si>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</si>
  <si>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r>
      <t>Are there any web browsers that are not currently supported?</t>
    </r>
    <r>
      <rPr>
        <u/>
        <sz val="11"/>
        <color theme="1"/>
        <rFont val="Verdana"/>
        <family val="2"/>
      </rPr>
      <t xml:space="preserve"> </t>
    </r>
  </si>
  <si>
    <t>GNRL-01 through GNRL-20; populated by the supplier</t>
  </si>
  <si>
    <t>http://www.supplier.domain/privacynotice</t>
  </si>
  <si>
    <t>Robust answers from the supplier improve the quality and efficiency of the security assessment process.</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</si>
  <si>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</si>
  <si>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</si>
  <si>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</si>
  <si>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</si>
  <si>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</si>
  <si>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</si>
  <si>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</si>
  <si>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</si>
  <si>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</si>
  <si>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</si>
  <si>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</si>
  <si>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</si>
  <si>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</si>
  <si>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</si>
  <si>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</si>
  <si>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Supplier Product</t>
  </si>
  <si>
    <t>Ensure that all elements of IAM-25 are clearly stated in your response.</t>
  </si>
  <si>
    <t>Version History:</t>
  </si>
  <si>
    <t>Date</t>
  </si>
  <si>
    <t>Version</t>
  </si>
  <si>
    <t>Ensure that all parts are clearly stated in your response.</t>
  </si>
  <si>
    <t>Ensure that all elements are clearly stated in your response.</t>
  </si>
  <si>
    <t>Ensure that all elements are clearly stated in your response. (i.e., architecture AND functionality are defined)</t>
  </si>
  <si>
    <t>Represents 55 (with RISK-05)</t>
  </si>
  <si>
    <t>Are development environments and systems separate or segmented from the main corporate network and any other networks?</t>
  </si>
  <si>
    <t>Date Submitted</t>
  </si>
  <si>
    <t>WFM-01.1</t>
  </si>
  <si>
    <t>Do you perform recurring background checks for personnel on a periodic basis after initial hire date?</t>
  </si>
  <si>
    <t>Revision Notes</t>
  </si>
  <si>
    <t xml:space="preserve">Other – Please explain:  </t>
  </si>
  <si>
    <t>Initial version posted</t>
  </si>
  <si>
    <t>Corrected cell name for reference  in G113 and G114</t>
  </si>
  <si>
    <t>Bulk Electric System (BES) Cyber System Information (BCSI)</t>
  </si>
  <si>
    <t>62, 63</t>
  </si>
  <si>
    <t>Critical Energy Infrastructure Information (CEII) (Defined term at https://www.ferc.gov/enforcement-legal/ceii)</t>
  </si>
  <si>
    <t>Do you monitor for intrusions on a 24x7x365 basis with 24x7 response and evaluation?</t>
  </si>
  <si>
    <t>DATA-26</t>
  </si>
  <si>
    <t>CSPM-20</t>
  </si>
  <si>
    <t>Do you maintain an asset management program that requires an inventory of IT and OT hardware, software, information assets (e.g., databases)?</t>
  </si>
  <si>
    <t>Purchaser Account Information</t>
  </si>
  <si>
    <t>Do you have a process by which you will notify purchaser when production and/or operation of products and/or services changes to another supplier or location?</t>
  </si>
  <si>
    <t xml:space="preserve">Do you require employees to have a completed agreement and review information security policies including, but not limited to, an Acceptable Use policy or equivalent?  </t>
  </si>
  <si>
    <t>Is security awareness and privacy training mandatory for all employees at least annually?</t>
  </si>
  <si>
    <t>Do you maintain a list of all individuals with access to your assets, systems, networks, information, and/or facilities including an access log of each sign in/out?</t>
  </si>
  <si>
    <t>Is media used for long-term retention of purchaser's business data and archival purposes stored in a secure, environmentally protected area?</t>
  </si>
  <si>
    <t>Does the process described in CSTA-06 adhere to DoD 5220.22-M and/or NIST SP 800-88 standards?</t>
  </si>
  <si>
    <t>Do you have a process through which you recommend actions to be taken by you and/or purchaser on a purchaser-controlled system to reduce the risk of recurrence of the same or similar security incident, including, as appropriate, the provision of action plans and mitigating controls?</t>
  </si>
  <si>
    <t>Do you have a means by which purchaser can verify the source of software, firmware, patch, and data downloads is authentic?</t>
  </si>
  <si>
    <t>Do you have a process or program through which you notify purchasers of vulnerabilities and/or material defects and remediations of those items in the product(s) and service(s) supplied by you to them throughout the lifecycle of the product or services provided, to include any vulnerabilities identified and unresolved prior to deployment of product(s) in the customer's environment?</t>
  </si>
  <si>
    <t>Do you have secure system hardening guidelines and procedures for products developed or provided by you to purchaser?</t>
  </si>
  <si>
    <t>Have your systems undergone penetration testing (internal or by third party)?</t>
  </si>
  <si>
    <t>Answer</t>
  </si>
  <si>
    <t>Weight</t>
  </si>
  <si>
    <t>Score</t>
  </si>
  <si>
    <t>Total Score</t>
  </si>
  <si>
    <t>Category Score</t>
  </si>
  <si>
    <t>Historical versions are available at www.natf.net/industry-initiatives/supply-chain-industry-coordination.</t>
  </si>
  <si>
    <t>Annual revision for 2021</t>
  </si>
  <si>
    <t>Annual revision for 2022</t>
  </si>
  <si>
    <t>Annual revision for 2023</t>
  </si>
  <si>
    <t>Redline versions are available at www.natf.net/industry-initiatives/supply-chain-industry-coordination.</t>
  </si>
  <si>
    <t>Change Log</t>
  </si>
  <si>
    <t xml:space="preserve">Provide the findings reports from third-party verifications conducted for cybersecurity frameworks (provide the two most recent reports for each cybersecurity framework). </t>
  </si>
  <si>
    <t>Corrected various typos.
Added additional information to General Information section.
Added definition reference for CEII
Added check box and option for BCSI data
Added additional information to Qualifier section
Added clarifying text to QUAL-05
All font in column G for guidance changed to blue
Added new question WFM-01.1 for recurring background checks
Changed "another provider" to "another supplier" in THRD-09
Removed duplicate questions DATA-06, EIR-11, and RISK-28
Added clarifying text to EIR-12
Formatted cells to allow for text entry for following questions:  COMP-05, COMP-06, COMP-07, IAM-01, IAM-21, IAM-22, IAM-28, CHNG-07, CSTA-10, CSTA-13, CSTA-19, DATA-21, DATA-23, MOBL-02, and AC-1.</t>
  </si>
  <si>
    <t>Controlled Unclassified Information (CUI) (Defined term at https://www.ferc.gov/cui)</t>
  </si>
  <si>
    <t>IAM-16.1</t>
  </si>
  <si>
    <t>Do you have a policy that prohibits the use of shared accounts and/or shared credentials?</t>
  </si>
  <si>
    <t>Number of Contractors In Countries Other than the United States or Canada</t>
  </si>
  <si>
    <r>
      <t xml:space="preserve">Added note to General Information section
Updated use of </t>
    </r>
    <r>
      <rPr>
        <i/>
        <sz val="11"/>
        <rFont val="Calibri"/>
        <family val="2"/>
        <scheme val="minor"/>
      </rPr>
      <t xml:space="preserve">entity, utility, customer, </t>
    </r>
    <r>
      <rPr>
        <sz val="11"/>
        <rFont val="Calibri"/>
        <family val="2"/>
        <scheme val="minor"/>
      </rPr>
      <t>and</t>
    </r>
    <r>
      <rPr>
        <i/>
        <sz val="11"/>
        <rFont val="Calibri"/>
        <family val="2"/>
        <scheme val="minor"/>
      </rPr>
      <t xml:space="preserve"> purchaser</t>
    </r>
    <r>
      <rPr>
        <sz val="11"/>
        <rFont val="Calibri"/>
        <family val="2"/>
        <scheme val="minor"/>
      </rPr>
      <t xml:space="preserve"> throughout as appropriate
Added BCSI to QUAL-01
Removed duplicate question GNRL-13
Mapped COMP-05 ,06, and 07 to criteria 61, 62, and 63, respectively
Added clarifying text to WFM-11 and WFM-12
Removed duplicate question IAM-14 and maintained RISK-13
Added CSPM-20 regarding asset management
Added DATA-26 to address removable media
Added NATF Criteria 20 for RISK-07
Removed RISK-24 and merged with IAM-05
Removed VULN-04 and merged with VULN-18</t>
    </r>
  </si>
  <si>
    <r>
      <t xml:space="preserve">Merged Unformatted, Formatted, and Scorable Option versions into one questionnaire
  -Update document title
  -Removed Qualifier section and associated logic
  -Updated General Information and Instructions to include scoring information
Added link below version history table to historical versions of files
Added new tab for Change Log
Revised General Information section for use of </t>
    </r>
    <r>
      <rPr>
        <i/>
        <sz val="11"/>
        <rFont val="Calibri"/>
        <family val="2"/>
        <scheme val="minor"/>
      </rPr>
      <t xml:space="preserve">data
</t>
    </r>
    <r>
      <rPr>
        <sz val="11"/>
        <rFont val="Calibri"/>
        <family val="2"/>
        <scheme val="minor"/>
      </rPr>
      <t>Added reference to Revision Process in General Information section</t>
    </r>
    <r>
      <rPr>
        <i/>
        <sz val="11"/>
        <rFont val="Calibri"/>
        <family val="2"/>
        <scheme val="minor"/>
      </rPr>
      <t xml:space="preserve">
</t>
    </r>
    <r>
      <rPr>
        <sz val="11"/>
        <rFont val="Calibri"/>
        <family val="2"/>
        <scheme val="minor"/>
      </rPr>
      <t>Added CUI and reference to definition in Information Provided by Utility section
Added reference to Abbreviations and Definitions in Instructions section
Removed specific references to countries in COMP-05, 06, and 07
Mapped IAM-03 to new Supplier Criteria 1.1
Added new question IAM-16.1 for shared accounts and shared credentials
Reworded IAM-13, IAM-20, CSPM-10, RISK-19, RISK-20, VULN-07, and VULN-14 for clarity
Added clarifying text to CSPM-19, CSTA-17, DATA-20, DATA-26, RISK-15
Capitalized defined terms in EIR-01, EIR-02, EIR-04, EIR-07, EIR-08, EIR-09, and EIR-10
Removed duplicative question VULN-09 which is covered in VULN-01</t>
    </r>
  </si>
  <si>
    <t>Provide a list of countries in which supplier operates (has an office, sells product, or conducts any business) and describe activities conducted in each.</t>
  </si>
  <si>
    <t>Provide a list of countries in which supplier's product (i.e., hardware, software, firmware, or components) is manufactured or developed and describe activities conducted in each.</t>
  </si>
  <si>
    <t>Provide a list of countries in which supplier's product (i.e., hardware, software, firmware, or components) is assembled and describe activities conducted in each.</t>
  </si>
  <si>
    <t>Are user account passwords/passphrases/credentials encrypted when in transit and at rest?</t>
  </si>
  <si>
    <t>Do you digitally sign, validate, and provide a way for entities to validate software, patches, and firmware prior to distribution?</t>
  </si>
  <si>
    <t>Is the service hosted in a high-availability environment (i.e., redundant power, hardware, software, and network accessibility; no single point of failure)?</t>
  </si>
  <si>
    <t>Does your product or service employ encryption technologies (e.g., SSH, SSL/TLS, VPN) when transmitting sensitive information over TCP/IP networks (e.g., system-to-system and system-to-client)?</t>
  </si>
  <si>
    <t>Are controls in place to ensure that your systems and/or processes prohibit/limit the use of external storage and removable media?</t>
  </si>
  <si>
    <t>Does your company have a Cyber Security Incident response plan/process, including when notification would be provided to purchaser?</t>
  </si>
  <si>
    <t>Does your Cyber Security Incident response plan contain a requirement to notify purchasers of the impacted products or services within 24 hours of initiation of your plan?</t>
  </si>
  <si>
    <t>Does your Cyber Security Incident response plan include a requirement to perform an after-action review, demonstrate corrective actions (e.g., lessons learned), and update your plan accordingly?</t>
  </si>
  <si>
    <t>Do you review and update your Cyber Security Incident response plan at least annually?</t>
  </si>
  <si>
    <t>Have you taken appropriate action in response to assessment(s) of your Cyber Security Incident response plan/process?</t>
  </si>
  <si>
    <t>Does your Cyber Security Incident response plan contain clear roles and responsibilities that include coordination of responses to your purchaser(s)?</t>
  </si>
  <si>
    <t>Does your Cyber Security Incident response plan contain steps to identify, contain, eradicate, and recover?</t>
  </si>
  <si>
    <t>Do you have up-to-date antimalware on all end nodes?</t>
  </si>
  <si>
    <t>Does your cybersecurity program conform with a specific industry standard security framework (e.g., NIST Cybersecurity Framework, ISO 27001, etc.)?</t>
  </si>
  <si>
    <t>Do you have a process to remediate any security risks identified by purchaser, their representative, or any industry-recognized vulnerability research or assessment organization within a pre-negotiated timeframe?</t>
  </si>
  <si>
    <t>Do you allow third parties to perform security testing of your systems and/or application provided that testing is performed at a mutually agreed upon time and date?</t>
  </si>
  <si>
    <t>Annual revision for 2024</t>
  </si>
  <si>
    <t>If this is not universally Yes or No, please identify for which subset (software, patches, or firmware) signing &amp; validation occurs.</t>
  </si>
  <si>
    <t xml:space="preserve">CIP-013-2 </t>
  </si>
  <si>
    <t>CIP-005-7</t>
  </si>
  <si>
    <t xml:space="preserve">CIP-010-4 </t>
  </si>
  <si>
    <t>NIST SP 800-161r1</t>
  </si>
  <si>
    <t>NIST SP 800-53r5</t>
  </si>
  <si>
    <t>NIST SP 800-171r2</t>
  </si>
  <si>
    <t>NIST</t>
  </si>
  <si>
    <t>IEC 62443</t>
  </si>
  <si>
    <t>62443-1-1:2009
62443-2-1:2010
62443-2-3:2015
62443-2-4:2017
62443-3-1:2009
62443-3-2:2020
62443-3-3:2013
62443‑4‑1:2018
62443-4-2:2019</t>
  </si>
  <si>
    <t>2-1 4.3.2.5
(no specific mention on M&amp;A)</t>
  </si>
  <si>
    <t>ISO 27001</t>
  </si>
  <si>
    <t>ISO/IEC 27001:2022</t>
  </si>
  <si>
    <t>SOC 2 / SOC for Supply Chain
/ SOC for Cybersecurity</t>
  </si>
  <si>
    <t>A.1.5.22</t>
  </si>
  <si>
    <t>A1.5.2</t>
  </si>
  <si>
    <t>2017 Trust Services Criteria</t>
  </si>
  <si>
    <t>CC2.3</t>
  </si>
  <si>
    <t>CC9.1</t>
  </si>
  <si>
    <t>R1.2.5</t>
  </si>
  <si>
    <t>SR-6</t>
  </si>
  <si>
    <t>A.1.5.21
A.1.5.23</t>
  </si>
  <si>
    <t>CC9.2</t>
  </si>
  <si>
    <t>SC-8</t>
  </si>
  <si>
    <t>SR-8</t>
  </si>
  <si>
    <t>A.1.5.20</t>
  </si>
  <si>
    <t>MP-4</t>
  </si>
  <si>
    <t>3.8.1</t>
  </si>
  <si>
    <t>2-1 4.3.3.3.2</t>
  </si>
  <si>
    <t>A.1.7.8</t>
  </si>
  <si>
    <t>CC6.4</t>
  </si>
  <si>
    <t>3-3 SR 3.4
4-1 SM-6</t>
  </si>
  <si>
    <t>A.1.5.19</t>
  </si>
  <si>
    <t>SI-2
SI-7</t>
  </si>
  <si>
    <t>3.11.2</t>
  </si>
  <si>
    <t>3-3 SR 3.3
3-3 SR 3.4
4-1 SM-9
4-1 SM-12</t>
  </si>
  <si>
    <t>A.1.8.8</t>
  </si>
  <si>
    <t>CC7.1</t>
  </si>
  <si>
    <t>PE-16</t>
  </si>
  <si>
    <t>2-1 4.3.3.3.9
2-4 SP.02.01</t>
  </si>
  <si>
    <t>A.1.7.9
A.1.7.10</t>
  </si>
  <si>
    <t>PI1.4</t>
  </si>
  <si>
    <t>SR-4</t>
  </si>
  <si>
    <t>3-3 SR 3.4
4-1 SM-3
4-1 SM-9</t>
  </si>
  <si>
    <t>PI1.2</t>
  </si>
  <si>
    <t>2-1 4.3.4.4.2</t>
  </si>
  <si>
    <t>A.1.5.14
A.1.5.20</t>
  </si>
  <si>
    <t>P6.1</t>
  </si>
  <si>
    <t>RA-5</t>
  </si>
  <si>
    <t>2-1 4.2.3.7
2-4 SP 02.02
3-2 ZCR 5.2
4-1 SVV-3</t>
  </si>
  <si>
    <t>PT-1</t>
  </si>
  <si>
    <t>R1.2.3</t>
  </si>
  <si>
    <t>PS-3</t>
  </si>
  <si>
    <t>3.9.1</t>
  </si>
  <si>
    <t>A.1.6.1</t>
  </si>
  <si>
    <t>CC1.4</t>
  </si>
  <si>
    <t>2-1 4.3.3.2.3
2-4 SP.01.04</t>
  </si>
  <si>
    <t>2-1 4.3.3.2.1
2-1 4.3.3.2.2
2-1 4.3.3.2.3
2-4 SP.01.04</t>
  </si>
  <si>
    <t>AC-2
AC-3</t>
  </si>
  <si>
    <t>AC-2
AC-3
PS-4</t>
  </si>
  <si>
    <t>3.1.1
3.1.2</t>
  </si>
  <si>
    <t>3-3 SR 1.3</t>
  </si>
  <si>
    <t>A.1.5.18</t>
  </si>
  <si>
    <t>CC6.3</t>
  </si>
  <si>
    <t>AC-3</t>
  </si>
  <si>
    <t>PS-4
PS-5</t>
  </si>
  <si>
    <t>3.9.2</t>
  </si>
  <si>
    <t>2-1 4.3.3.5.5
3-3 SR 1.3</t>
  </si>
  <si>
    <t>A.1.5.18
A.1.6.5</t>
  </si>
  <si>
    <t>CC6.2</t>
  </si>
  <si>
    <t>SA-3</t>
  </si>
  <si>
    <t>2-1 4.3.4.3.4
4-1 SM-1</t>
  </si>
  <si>
    <t>A.1.8.25
A.1.8.28</t>
  </si>
  <si>
    <t>CC8.1</t>
  </si>
  <si>
    <t>SA-16</t>
  </si>
  <si>
    <t>3.2.2</t>
  </si>
  <si>
    <t>2-1 4.3.2.4.1
4-1 SM-4</t>
  </si>
  <si>
    <t>A.1.6.3</t>
  </si>
  <si>
    <t>CC2.1</t>
  </si>
  <si>
    <t>PS-6</t>
  </si>
  <si>
    <t>2-4 SP.01.03</t>
  </si>
  <si>
    <t>A.1.6.2
A.1.6.6</t>
  </si>
  <si>
    <t>CC5.3</t>
  </si>
  <si>
    <t>AT-2</t>
  </si>
  <si>
    <t>3.2.1</t>
  </si>
  <si>
    <t>2-1 4.3.2.4.1
2-4 SP.01.01</t>
  </si>
  <si>
    <t>CC2.2</t>
  </si>
  <si>
    <t>R1.2.6</t>
  </si>
  <si>
    <t>AC-2
IA-2</t>
  </si>
  <si>
    <t>2-1 4.3.3.5.1
3-3 SR 1.3
3-3 SR 1.4</t>
  </si>
  <si>
    <t>A.1.5.15
A.1.5.16</t>
  </si>
  <si>
    <t>CC6.1</t>
  </si>
  <si>
    <t>IA-2</t>
  </si>
  <si>
    <t>3.5.3
3.7.5</t>
  </si>
  <si>
    <t>2-1 4.3.3.6.3
3-3 SR 1.1
3-3 SR 1.1
4-2 CR 1.1</t>
  </si>
  <si>
    <t>A.1.8.5</t>
  </si>
  <si>
    <t>AC-2
AC-24</t>
  </si>
  <si>
    <t>2-1 4.3.3.5.3
3-3 SR 1.3</t>
  </si>
  <si>
    <t>A.1.5.15
A.1.5.18</t>
  </si>
  <si>
    <t>AC-2</t>
  </si>
  <si>
    <t>3.1.1
3.5.1</t>
  </si>
  <si>
    <t>2-1 4.3.3.5.4
3-3 SR 1.3
3-3 SR 1.4</t>
  </si>
  <si>
    <t>2-1 4.3.3.5.6
3-3 SR 1.3</t>
  </si>
  <si>
    <t>CC6.2
CC6.4</t>
  </si>
  <si>
    <t>AC‑17</t>
  </si>
  <si>
    <t>AC-17</t>
  </si>
  <si>
    <t>3.1.12</t>
  </si>
  <si>
    <t>2-1 4.3.3.6.6
2-4 SP.07.01</t>
  </si>
  <si>
    <t>A.1.6.7</t>
  </si>
  <si>
    <t>2-1 4.3.3.6.5
2-4 SP.07.04</t>
  </si>
  <si>
    <t>AC-12
AC‑17
SC-10</t>
  </si>
  <si>
    <t>3.1.11
3.13.9</t>
  </si>
  <si>
    <t>2-1 4.3.3.6.8
2-4 SP.07.02
3-3 SR 2.6
4-2 CR 2.6</t>
  </si>
  <si>
    <t>AC-4
SC-7</t>
  </si>
  <si>
    <t>3.1.3
3.13.7</t>
  </si>
  <si>
    <t>2-4 SP.03.02
3-3 SR 5.2</t>
  </si>
  <si>
    <t>A.1.8.3</t>
  </si>
  <si>
    <t>CC6.6</t>
  </si>
  <si>
    <t>IA-5</t>
  </si>
  <si>
    <t>3.5.8</t>
  </si>
  <si>
    <t>2-1 4.3.3.6.3
2-4 SP.09.06
3-3 SR 1.7
4-2 CR 1.7</t>
  </si>
  <si>
    <t>3.5.7</t>
  </si>
  <si>
    <t>2-1 4.3.3.6.3
2-4 SP.09.05
3-3 SR 1.7
4-2 CR 1.5</t>
  </si>
  <si>
    <t>3.5.1</t>
  </si>
  <si>
    <t>A.1.5.16</t>
  </si>
  <si>
    <t>SC-28</t>
  </si>
  <si>
    <t>IA-5
SC-28</t>
  </si>
  <si>
    <t>3.5.10</t>
  </si>
  <si>
    <t>2-4 SP.03.08
3-3 SR 1.5
4-2 CR 4.3</t>
  </si>
  <si>
    <t>A.1.8.24</t>
  </si>
  <si>
    <t>CC6.1
CC6.7</t>
  </si>
  <si>
    <t>IA-2
IA-5</t>
  </si>
  <si>
    <t>2-1 4.3.3.6.3
3-3 SR 1.1
4-2 CR 1.1</t>
  </si>
  <si>
    <t>AU-2
AU-3</t>
  </si>
  <si>
    <t>AU-2
AU-3
AU-6</t>
  </si>
  <si>
    <t>3.3.3</t>
  </si>
  <si>
    <t>3-3 SR 6.1</t>
  </si>
  <si>
    <t>A.1.8.15</t>
  </si>
  <si>
    <t>CC7.2</t>
  </si>
  <si>
    <t>2-1 4.3.3.7.3
2-4 SP.03.08
3-3 SR 1.1
3-3 SR 1.3</t>
  </si>
  <si>
    <t>A.1.5.15</t>
  </si>
  <si>
    <t>AC-6</t>
  </si>
  <si>
    <t>3.1.5</t>
  </si>
  <si>
    <t>2-4 SP.09.02
3-3 SR 2.1
4-1 SG-6
4-2 CR 2.1</t>
  </si>
  <si>
    <t>A.1.8.2</t>
  </si>
  <si>
    <t>AC-1
AC-6</t>
  </si>
  <si>
    <t>2-4 SP.09.01
3-3 SR 1.3
4-1 SG-6
4-2 CR 1.3</t>
  </si>
  <si>
    <t>2-1 4.3.3.5.1
2-1 4.3.3.5.6
3-3 SR 1.3</t>
  </si>
  <si>
    <t>2-1 4.3.3.5.2
2-4 SP.09.02
3-3 SR 1.3
3-3 SR 1.4</t>
  </si>
  <si>
    <t>2-1 4.3.3.2.2</t>
  </si>
  <si>
    <t>2-1 4.3.3.2.2
2-4 SP.01.04</t>
  </si>
  <si>
    <t>R1.2.1</t>
  </si>
  <si>
    <t>CP-2</t>
  </si>
  <si>
    <t>2-1 4.3.2.5</t>
  </si>
  <si>
    <t>A.1.5.30</t>
  </si>
  <si>
    <t>CC7.5</t>
  </si>
  <si>
    <t>CP-4</t>
  </si>
  <si>
    <t>2-1 4.3.2.5.7</t>
  </si>
  <si>
    <t>A1.3</t>
  </si>
  <si>
    <t>A.1.5.34</t>
  </si>
  <si>
    <t>P1.1</t>
  </si>
  <si>
    <t>2-1 4.2.3.5</t>
  </si>
  <si>
    <t>MP-1</t>
  </si>
  <si>
    <t>3.7.3
3.8.3</t>
  </si>
  <si>
    <t>2-1 4.3.4.4.4
2-4 SP.03.10</t>
  </si>
  <si>
    <t>A.1.7.10
A.1.7.14</t>
  </si>
  <si>
    <t>CC6.5
C1.2</t>
  </si>
  <si>
    <t>MP-6</t>
  </si>
  <si>
    <t>MP-6
SI-12</t>
  </si>
  <si>
    <t>3.8.3</t>
  </si>
  <si>
    <t>2-1 4.3.3.3.9
2-1 4.3.4.4.4</t>
  </si>
  <si>
    <t>A.1.7.14
A.1.8.10</t>
  </si>
  <si>
    <t>CC6.5
C1.2
P4.3</t>
  </si>
  <si>
    <t>CA-2</t>
  </si>
  <si>
    <t>2-4 SP.02.01
3-2 ZCR 5</t>
  </si>
  <si>
    <t>A.1.5.22
A.1.5.35</t>
  </si>
  <si>
    <t>CC3.1
CC3.2</t>
  </si>
  <si>
    <t>CM-3
SI-7</t>
  </si>
  <si>
    <t>3.4.3
3.4.4
3.4.5</t>
  </si>
  <si>
    <t>2-1 4.3.4.3
2-3 B.5.5
2-4 SP.02.01
2-4 SP.11.06
4-1 SM-6</t>
  </si>
  <si>
    <t>A.1.8.25
A.1.8.29
A.1.8.31
A.1.8.33</t>
  </si>
  <si>
    <t>CC7.1
CC8.1</t>
  </si>
  <si>
    <t>SI-7</t>
  </si>
  <si>
    <t>2-3 B.7.5
3-3 SR 1.9
4-1 SM-12
4-2 CR 1.9</t>
  </si>
  <si>
    <t>SC-1
PL-2</t>
  </si>
  <si>
    <t>SC-1
PL-2
PM-1</t>
  </si>
  <si>
    <t>3.13.16
3.14.7</t>
  </si>
  <si>
    <t>2-4 SP.03.10 RE(3)
3-3 SR 3.4
3-3 SR 4.1
4-2 CR 3.4
4-2 CR 4.1</t>
  </si>
  <si>
    <t>A.1.5.1
A.1.8.3
A.1.8.11
A.1.8.24</t>
  </si>
  <si>
    <t>CC6.1
CC6.6
CC6.7</t>
  </si>
  <si>
    <t>IR-6</t>
  </si>
  <si>
    <t>3.6.1
3.6.2</t>
  </si>
  <si>
    <t>2-1 4.3.4.5.9
2-4 SP.08.01</t>
  </si>
  <si>
    <t>CC7.4</t>
  </si>
  <si>
    <t>2-1 4.3.4.3.9
2-4 SP.12.09</t>
  </si>
  <si>
    <t>PL-2</t>
  </si>
  <si>
    <t>A.1.5.1</t>
  </si>
  <si>
    <t>SI-12</t>
  </si>
  <si>
    <t>2-4 SP.03.10 RE(2)</t>
  </si>
  <si>
    <t>A.1.7.10</t>
  </si>
  <si>
    <t>P4.2</t>
  </si>
  <si>
    <t>2-1 4.3.4.4.4
2-4 SP.03.10 RE(2)</t>
  </si>
  <si>
    <t>CM-8
PM-5</t>
  </si>
  <si>
    <t>3.4.1</t>
  </si>
  <si>
    <t>2-4 SP.06.02</t>
  </si>
  <si>
    <t>A.1.5.9</t>
  </si>
  <si>
    <t>CM-1
CM-3</t>
  </si>
  <si>
    <t>3.4.3</t>
  </si>
  <si>
    <t>2-1 4.3.4.3.2
2-3 B.8.2</t>
  </si>
  <si>
    <t>A.1.8.32</t>
  </si>
  <si>
    <t>CM-3</t>
  </si>
  <si>
    <t>3-3 SR 3.3
3-3 SR 3.4
4-1 SM-1
4-2 CR 3.3
4-2 CR 3.4</t>
  </si>
  <si>
    <t>A.1.8.25</t>
  </si>
  <si>
    <t>SI-2</t>
  </si>
  <si>
    <t>3.14.1</t>
  </si>
  <si>
    <t>2-1 4.3.4.3.7
2-3 B.7.1
2-4 SP.11.02
4-1 SUM-5</t>
  </si>
  <si>
    <t>CC7.1
CC7.5
CC8.1</t>
  </si>
  <si>
    <t>CM-7</t>
  </si>
  <si>
    <t>3.4.7</t>
  </si>
  <si>
    <t>2-4 SP.02.03 BR</t>
  </si>
  <si>
    <t>CM-1
CM-2</t>
  </si>
  <si>
    <t>2-1 4.3.4.3.2
2-3 B.8.5
2-4 SP.02.03 BR
3-3 SR 7.6
4-1 SG-3
4-2 CR 7.6</t>
  </si>
  <si>
    <t>A.1.8.9</t>
  </si>
  <si>
    <t>CM-1</t>
  </si>
  <si>
    <t>3.4.1
3.4.2</t>
  </si>
  <si>
    <t>2-1 4.3.4.3.2
3-3 SR 7.6
4-2 CR 7.6</t>
  </si>
  <si>
    <t>CM-1
CM-9</t>
  </si>
  <si>
    <t>CM-4</t>
  </si>
  <si>
    <t>3.4.4</t>
  </si>
  <si>
    <t>2-1 4.3.4.3.2
2-1 4.3.4.3.3</t>
  </si>
  <si>
    <t>SI-1
SI-2</t>
  </si>
  <si>
    <t>2-1 4.3.4.3.7
2-3 Annex B
3-3 SR 7.4
2-4 SP.11.01
4-1 SUM-5</t>
  </si>
  <si>
    <t>CC7.5
CC8.1</t>
  </si>
  <si>
    <t>2-4 SP.11.02</t>
  </si>
  <si>
    <t>3.8.1
3.13.16</t>
  </si>
  <si>
    <t>2-4 SP.03.10
3-3 SR 4.1
4-2 CR 4.1</t>
  </si>
  <si>
    <t>PE-3</t>
  </si>
  <si>
    <t>3.10.1</t>
  </si>
  <si>
    <t>A.1.7.1</t>
  </si>
  <si>
    <t>PE-13</t>
  </si>
  <si>
    <t>2-1 4.3.3.3.4</t>
  </si>
  <si>
    <t>A.1.7.5</t>
  </si>
  <si>
    <t>A1.2</t>
  </si>
  <si>
    <t>AC-5</t>
  </si>
  <si>
    <t>3.1.4</t>
  </si>
  <si>
    <t>2-1 4.3.3.7.3
3-3 SR 2.1
4-2 CR 2.1</t>
  </si>
  <si>
    <t>A.1.5.3</t>
  </si>
  <si>
    <t>CP-9</t>
  </si>
  <si>
    <t>3.8.9</t>
  </si>
  <si>
    <t>2-1 4.3.4.3.9
3-3 SR 7.3
4-2 CR 7.3</t>
  </si>
  <si>
    <t>A.1.8.13</t>
  </si>
  <si>
    <t>SC-7</t>
  </si>
  <si>
    <t>3.13.1</t>
  </si>
  <si>
    <t>2-1 4.3.3.4
3-3 SR 5.2</t>
  </si>
  <si>
    <t>2-1 4.3.3.4
3-3 SR 5.2
2-4 SP.03.02 RE(2)</t>
  </si>
  <si>
    <t>A.1.8.20</t>
  </si>
  <si>
    <t>SI-4</t>
  </si>
  <si>
    <t>3.14.6</t>
  </si>
  <si>
    <t>3-3 SR 6.1
4-2 CR 6.1
2-4 SP.08.02</t>
  </si>
  <si>
    <t>CC6.6
CC7.2</t>
  </si>
  <si>
    <t>CM-2
SA-3</t>
  </si>
  <si>
    <t>3-3 SR 5.1
4-2 CR 5.1</t>
  </si>
  <si>
    <t>A.1.8.22</t>
  </si>
  <si>
    <t>PE-3
SC-32</t>
  </si>
  <si>
    <t>PE-11</t>
  </si>
  <si>
    <t>3-3 SR 7.5
4-2 CR 7.5</t>
  </si>
  <si>
    <t>A.1.7.11</t>
  </si>
  <si>
    <t>PE-9
PE-11</t>
  </si>
  <si>
    <t>2-1 4.3.3.3.10
3-3 SR 7.5</t>
  </si>
  <si>
    <t>2-1 4.3.3.3.10</t>
  </si>
  <si>
    <t>AC-19</t>
  </si>
  <si>
    <t>3.1.18
3.1.19</t>
  </si>
  <si>
    <t>2-1 4.3.3.6.6
3-3 SR 2.3</t>
  </si>
  <si>
    <t>CC6.7</t>
  </si>
  <si>
    <t>AC-5
SC-3</t>
  </si>
  <si>
    <t>2-1 4.3.3.2.7
3-3 SR 2.1
4-2 CR 2.1</t>
  </si>
  <si>
    <t>CC5.1
CC6.3</t>
  </si>
  <si>
    <t>SC-5</t>
  </si>
  <si>
    <t>2-4 SP.08.04
3-3 SR 7.1
4-2 CR 7.1</t>
  </si>
  <si>
    <t>A.1.8.20
A.1.8.21</t>
  </si>
  <si>
    <t xml:space="preserve">3.1.12
3.1.13
3.13.16
</t>
  </si>
  <si>
    <t>2-4 SP.03.08 RE(2)
2-4 SP.03.10 BR
2-4 SP.07.04
3-3 SR 3.1
3-3 SR 3.4
3-3 SR 4.1
4-2 CR 3.1
4-2 CR 3.4
4-2 CR 4.1</t>
  </si>
  <si>
    <t>A.1.5.14
A.1.6.7
A.1.8.24</t>
  </si>
  <si>
    <t>3.13.16</t>
  </si>
  <si>
    <t>2-4 SP.03.08 RE(2)
2-4 SP.03.10
3-3 SR 3.4
3-3 SR 4.1
4-2 CR 3.4
4-2 CR 4.1</t>
  </si>
  <si>
    <t>A.1.8.3
A.1.8.24</t>
  </si>
  <si>
    <t xml:space="preserve">SC-8
</t>
  </si>
  <si>
    <t>SC-8
SC-12
SC-13</t>
  </si>
  <si>
    <t>3.8.6
3.13.8</t>
  </si>
  <si>
    <t>2-4 SP.03.08 RE(2)
2-4 SP.03.10
3-3 SR 3.1
3-3 SR 4.1
3-3 SR 4.3
4-2 CR 3.1
4-2 CR 4.1
4-2 CR 4.3</t>
  </si>
  <si>
    <t>2-4 SP.03.10
3-3 SR 4.1
3-3 SR 4.3
4-2 CR 4.1
4-2 CR 4.3</t>
  </si>
  <si>
    <t>2-1 4.3.4.3.9
2-4 SP.12.01
3-3 SR 7.3
4-2 CR 7.3</t>
  </si>
  <si>
    <t>SC-12</t>
  </si>
  <si>
    <t>3.13.10</t>
  </si>
  <si>
    <t>2-4 SP.03.08 RE(2)
2-4 SP.03.10 RE(1)
3-3 SR 4.3
4-2 CR 4.3</t>
  </si>
  <si>
    <t>MP-1
SC-1
SI-1
SI-4
PM-1</t>
  </si>
  <si>
    <t>All SP 800-171</t>
  </si>
  <si>
    <t>2-1 4.3.4.4.1
2-1 4.3.4.4.2
2-1 4.3.4.4.3
2-1 4.3.4.4.4</t>
  </si>
  <si>
    <t>A.1.5.1
A.1.5.8
A.1.5.12
A.1.5.13
A.1.5.33
A.1.6.6
A.1.8.3
A.1.8.12</t>
  </si>
  <si>
    <t>CC2.1
CC3.2
CC6.1
CC6.7
C1.1
P2.1
P4.2</t>
  </si>
  <si>
    <t>PM-11</t>
  </si>
  <si>
    <t>A.1.5.14
A.1.5.21</t>
  </si>
  <si>
    <t>CC2.1
CC3.1
CC6.7
C1.1</t>
  </si>
  <si>
    <t>3.1.1</t>
  </si>
  <si>
    <t>2-1 4.3.3.5.3
2-1 4.3.3.7.3
3-3 SR 2.1
4-2 CR 2.1</t>
  </si>
  <si>
    <t>CC6.1
CC6.2
CC6.3
CC6.4
CC6.6
CC6.7
C1.1</t>
  </si>
  <si>
    <t>SC-7
SC-8</t>
  </si>
  <si>
    <t>CP-9
SC-7
SC-8</t>
  </si>
  <si>
    <t>2-1 4.3.4.5.6
2-1 4.3.4.5.10
2-4 SP.12.01
3-3 SR 5.2
3-3 SR 7.3
4-2 CR 5.2
4-2 CR 7.3</t>
  </si>
  <si>
    <t>A.1.8.12
A.1.8.13</t>
  </si>
  <si>
    <t>SI-1</t>
  </si>
  <si>
    <t>3.14.3</t>
  </si>
  <si>
    <t>3-3 SR 6.2
4-2 CR 6.2
4-1 SM-6</t>
  </si>
  <si>
    <t>A.1.8.9
A.1.8.16</t>
  </si>
  <si>
    <t>CC6.6
CC7.1
CC7.2</t>
  </si>
  <si>
    <t>2-1 4.3.3.3.8</t>
  </si>
  <si>
    <t>A.1.7.4</t>
  </si>
  <si>
    <t>3-3 SR 4.3
4-2 CR 4.3
2-4 SP.03.10</t>
  </si>
  <si>
    <t>3.1.13
3.13.8</t>
  </si>
  <si>
    <t>2-4 SP.07.04
3-3 SR 4.1
4-2 CR 4.1</t>
  </si>
  <si>
    <t>A.1.5.14
A.1.8.24</t>
  </si>
  <si>
    <t>A.1.8.13
A.1.8.24</t>
  </si>
  <si>
    <t>3-3 SR 7.3
4-2 CR 7.3</t>
  </si>
  <si>
    <t>3.8.8</t>
  </si>
  <si>
    <t>3-3 SR 2.3</t>
  </si>
  <si>
    <t>Supports (44, 45)</t>
  </si>
  <si>
    <t>R1.2.1
R1.2.2</t>
  </si>
  <si>
    <t>R1.2.2</t>
  </si>
  <si>
    <t>IR-6
IR-8</t>
  </si>
  <si>
    <t>2-1 4.3.4.5.1
2-1 4.3.4.5.5
2-4 SP.08.01
4-1 DM-5</t>
  </si>
  <si>
    <t>A.1.5.24
A.1.5.26</t>
  </si>
  <si>
    <t>CC7.4
CC7.5</t>
  </si>
  <si>
    <t>3.6.2</t>
  </si>
  <si>
    <t>A.1.5.26
A.1.6.8</t>
  </si>
  <si>
    <t>2-1 4.3.4.5.5
2-1 4.3.4.5.9
2-4 SP.08.01
4-1 DM-5</t>
  </si>
  <si>
    <t>A.1.5.24
A.1.5.26
A.1.6.8</t>
  </si>
  <si>
    <t>CC7.4
CC7.5
CC9.2</t>
  </si>
  <si>
    <t>IR-4</t>
  </si>
  <si>
    <t>3.6.1</t>
  </si>
  <si>
    <t>2-1 4.3.4.5.8
2-1 4.3.4.5.10
2-4 SP.08.01</t>
  </si>
  <si>
    <t>A.1.5.27</t>
  </si>
  <si>
    <t>IR-3</t>
  </si>
  <si>
    <t>3.6.3</t>
  </si>
  <si>
    <t>2-1 4.3.4.5.11</t>
  </si>
  <si>
    <t>A.1.5.24</t>
  </si>
  <si>
    <t>IR-8</t>
  </si>
  <si>
    <t>2-4 SP.08.01
2-1 4.4.3.2</t>
  </si>
  <si>
    <t>A.1.5.27
A.1.5.35</t>
  </si>
  <si>
    <t>2-1 4.3.2.6
2-1 4.3.4.5.4
2-4 SP.08.01</t>
  </si>
  <si>
    <t>IR-4
IR-8</t>
  </si>
  <si>
    <t>2-4 SP.08.01
2-1 4.3.4.5.6
2-1 4.3.4.5.10</t>
  </si>
  <si>
    <t>IR-5</t>
  </si>
  <si>
    <t>3-3 SR 6.2
4-2 CR 6.2</t>
  </si>
  <si>
    <t>A.1.8.16</t>
  </si>
  <si>
    <t>CC7.2
CC7.3</t>
  </si>
  <si>
    <t>3-2 ZCR 6.6</t>
  </si>
  <si>
    <t>A.1.5.7</t>
  </si>
  <si>
    <t>CC7.3</t>
  </si>
  <si>
    <t>3.1.18</t>
  </si>
  <si>
    <t>A.1.8.1</t>
  </si>
  <si>
    <t>2-4 SP.03.08 RE(2)
2-4 SP.03.10
3-3 SR 3.4
3-3 SR 4.1
3-3 SR 4.3
4-2 CR 3.4
4-2 CR 4.1
4-2 CR 4.3</t>
  </si>
  <si>
    <t>SC-18</t>
  </si>
  <si>
    <t>3-3 SR 2.4
4-2 CR 2.4</t>
  </si>
  <si>
    <t>R1.2.4</t>
  </si>
  <si>
    <t>3.10.3
3.10.4
3.10.5</t>
  </si>
  <si>
    <t>2-1 4.3.3.3.2
2-1 4.3.3.3.8</t>
  </si>
  <si>
    <t>A.1.7.1
A.1.7.2
A.1.7.3
A.1.7.4</t>
  </si>
  <si>
    <t>CM-10</t>
  </si>
  <si>
    <t>AU-10
SI-7</t>
  </si>
  <si>
    <t>3-3 SR 3.1
3-3 SR 3.4
4-2 CR 3.1
4-2 CR 3.4</t>
  </si>
  <si>
    <t>SI-3</t>
  </si>
  <si>
    <t>3.14.2</t>
  </si>
  <si>
    <t>2-1 4.3.4.3.8
2-4 SP 02.02</t>
  </si>
  <si>
    <t>A.1.8.7
A.1.8.8</t>
  </si>
  <si>
    <t>CC6.8</t>
  </si>
  <si>
    <t>SA-10
SI-7</t>
  </si>
  <si>
    <t>2-4 SP.11.06 RE(3)</t>
  </si>
  <si>
    <t>A.1.5.21
A.1.5.22
A.1.5.26</t>
  </si>
  <si>
    <t>CC2.3
PI1.1</t>
  </si>
  <si>
    <t>SR-10
SR-11</t>
  </si>
  <si>
    <t>SI-5</t>
  </si>
  <si>
    <t>2-1 4.4.3.3
2-1 4.4.3.6
3-2 ZCR 6.6</t>
  </si>
  <si>
    <t>A.1.5.6
A.1.5.7</t>
  </si>
  <si>
    <t>CM-11
SI-4
RA-5</t>
  </si>
  <si>
    <t>3.4.9
3.11.2
3.13.8</t>
  </si>
  <si>
    <t>2-1 4.3.4.3.7
2-4 SP.11.01 BR
2-4 SP.11.02 BR
3-3 SR 3.1
3-3 SR 3.4
4-2 CR 3.1
4-2 CR 3.4</t>
  </si>
  <si>
    <t>A.1.5.19
A.1.5.20
A.1.5.22</t>
  </si>
  <si>
    <t>CC7.1
CC7.2</t>
  </si>
  <si>
    <t>3-3 FR 3
4-2 FR 3
4-1 SM-6</t>
  </si>
  <si>
    <t>A.1.8.4
A.1.8.19</t>
  </si>
  <si>
    <t>AC‑17
AC-20
SC-7</t>
  </si>
  <si>
    <t>3.1.12
3.1.14
3.1.18
3.4.7
3.5.1</t>
  </si>
  <si>
    <t>2-4 SP.03.07
3-3 SR 2.3
3-3 SR 7.6
4-2 CR 2.3
4-2 CR 7.6</t>
  </si>
  <si>
    <t>A.1.8.1
A.1.8.7
A.1.8.9</t>
  </si>
  <si>
    <t>CC6.1
CC6.3
CC6.6
CC6.7
CC6.8</t>
  </si>
  <si>
    <t>AC-17
AC-19
AC-20</t>
  </si>
  <si>
    <t>3.1.18
3.1.19
3.1.20</t>
  </si>
  <si>
    <t>2-4 SP.03.07
3-3 SR 2.3
4-2 CR 2.3</t>
  </si>
  <si>
    <t>A.1.8.1
A.1.8.9</t>
  </si>
  <si>
    <t>3.14.4</t>
  </si>
  <si>
    <t>2-1 4.3.4.3.8
4-2 SAR 3.2
2-4 SP.10.01</t>
  </si>
  <si>
    <t>A.1.8.7</t>
  </si>
  <si>
    <t>RA-1</t>
  </si>
  <si>
    <t>2-1 4.3.4.2</t>
  </si>
  <si>
    <t>MP-5</t>
  </si>
  <si>
    <t>3.8.5</t>
  </si>
  <si>
    <t>PE-6</t>
  </si>
  <si>
    <t>3.10.2</t>
  </si>
  <si>
    <t>SA-3
SA-8</t>
  </si>
  <si>
    <t>3.13.2</t>
  </si>
  <si>
    <t>2-1 4.3.4.3.1
4-1 SD-1</t>
  </si>
  <si>
    <t>2-1 4.2.3.7
2-4 SP 02.02
3-2 ZCR 5.2</t>
  </si>
  <si>
    <t>SA-11</t>
  </si>
  <si>
    <t>4-1 SVV-3</t>
  </si>
  <si>
    <t>A.1.8.29</t>
  </si>
  <si>
    <t>2-4 SP.02.01
4-1 SVV-3</t>
  </si>
  <si>
    <t>SI-2
IR-4</t>
  </si>
  <si>
    <t>2-1 4.3.4.3
2-1 4.3.4.5.9
2-4 SP.11.02
4-1 DM-5</t>
  </si>
  <si>
    <t>A.1.5.19
A.1.6.8
A.1.8.8</t>
  </si>
  <si>
    <t>CC2.3
CC7.4</t>
  </si>
  <si>
    <t>SI-2
SI-5
IR-4</t>
  </si>
  <si>
    <t>2-1 4.3.4.5.9
2-4 SP.11.02
4-1 DM-5</t>
  </si>
  <si>
    <t>CC2.3
CC7.1</t>
  </si>
  <si>
    <t>3-2 ZCR 5.8
3-2 ZCR 5.12
4-1 SUM-5</t>
  </si>
  <si>
    <t>CM-2</t>
  </si>
  <si>
    <t>2-4 SP.02.03</t>
  </si>
  <si>
    <t>2-4 SP 02.02
4-1 SVV-3</t>
  </si>
  <si>
    <t>2-1 4.3.4.3.1
4-1 SVV-3</t>
  </si>
  <si>
    <t>2-1 4.3.4.3
4-1 SM-1</t>
  </si>
  <si>
    <t>CA-8</t>
  </si>
  <si>
    <t>4-1 SVV-4
2-4 SP.02.01</t>
  </si>
  <si>
    <t>CC4.1</t>
  </si>
  <si>
    <t>2-1 4.3.4.5.3
2-1 4.3.4.5.5
2-1 4.3.4.5.9
2-4 SP.08.01
4-1 DM-5</t>
  </si>
  <si>
    <t>3.1.12
3.1.13
3.1.14
3.1.15</t>
  </si>
  <si>
    <t>Do you have cybersecurity risk insurance?
If yes, please provide coverage amounts.</t>
  </si>
  <si>
    <t>Primary (13)
Supports (8, 10, 11)</t>
  </si>
  <si>
    <t>Removed COMP-08 and merged with COMP-04
Reworded WFM-02 to match change in wording for Criteria 3
Reworded WFM-03 for clarity
Added guidance text to WFM-07, CSPM-04
Removed IAM-26 and merged with IAM-27
Added static guidance for CSPM-10
Reworded guidance for CSPM-13
Reworded RISK-20 to correct grammar and remove hyperlink
Added mappings to industry frameworks</t>
  </si>
  <si>
    <t>Primary (59)
Supports (20)</t>
  </si>
  <si>
    <t>NERC CIP Supply Chain Requirements</t>
  </si>
  <si>
    <t>Document ID: 1394</t>
  </si>
  <si>
    <t>Describe how long your organization has conducted business in this product area including existing energy sector customers.</t>
  </si>
  <si>
    <t>Include the number of years and in what capacity as well as a list of existing energy sector customer references.</t>
  </si>
  <si>
    <t>Does your computing system support role-based access control (RBAC) for end users/system administrators? (Depending on type of computing system, this may be your users internally, or potentially client users of your product.)</t>
  </si>
  <si>
    <r>
      <t xml:space="preserve">Published
</t>
    </r>
    <r>
      <rPr>
        <b/>
        <sz val="12"/>
        <color rgb="FFFF0000"/>
        <rFont val="Verdana"/>
        <family val="2"/>
      </rPr>
      <t>TBD</t>
    </r>
  </si>
  <si>
    <r>
      <t xml:space="preserve">Approval Date: </t>
    </r>
    <r>
      <rPr>
        <sz val="11"/>
        <color rgb="FFFF0000"/>
        <rFont val="Calibri"/>
        <family val="2"/>
        <scheme val="minor"/>
      </rPr>
      <t>TBD</t>
    </r>
  </si>
  <si>
    <r>
      <t xml:space="preserve">Version </t>
    </r>
    <r>
      <rPr>
        <b/>
        <sz val="12"/>
        <color rgb="FFFF0000"/>
        <rFont val="Verdana"/>
        <family val="2"/>
      </rPr>
      <t>6.0 Redline</t>
    </r>
  </si>
  <si>
    <t>TBD</t>
  </si>
  <si>
    <t>6.0 Redline</t>
  </si>
  <si>
    <r>
      <t xml:space="preserve">Version: </t>
    </r>
    <r>
      <rPr>
        <sz val="11"/>
        <color rgb="FFFF0000"/>
        <rFont val="Calibri"/>
        <family val="2"/>
        <scheme val="minor"/>
      </rPr>
      <t>6.0 Redline</t>
    </r>
  </si>
  <si>
    <t>Annual revision for 2025</t>
  </si>
  <si>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2.5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</si>
  <si>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2.5</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</si>
  <si>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2.5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3.2</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</si>
  <si>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2.4</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</si>
  <si>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2.3</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</si>
  <si>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1.2</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</si>
  <si>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2.1</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</si>
  <si>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1.2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</si>
  <si>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1.2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3.2</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</si>
  <si>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1.5</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</si>
  <si>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2.2</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</si>
  <si>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1.3
</t>
    </r>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2.2</t>
    </r>
  </si>
  <si>
    <r>
      <rPr>
        <sz val="12"/>
        <color rgb="FFFF0000"/>
        <rFont val="Calibri"/>
        <family val="2"/>
        <scheme val="minor"/>
      </rPr>
      <t>Table</t>
    </r>
    <r>
      <rPr>
        <sz val="12"/>
        <rFont val="Calibri"/>
        <family val="2"/>
        <scheme val="minor"/>
      </rPr>
      <t xml:space="preserve"> R2 </t>
    </r>
    <r>
      <rPr>
        <sz val="12"/>
        <color rgb="FFFF0000"/>
        <rFont val="Calibri"/>
        <family val="2"/>
        <scheme val="minor"/>
      </rPr>
      <t>Part</t>
    </r>
    <r>
      <rPr>
        <sz val="12"/>
        <rFont val="Calibri"/>
        <family val="2"/>
        <scheme val="minor"/>
      </rPr>
      <t xml:space="preserve"> 2.4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</si>
  <si>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1.6</t>
    </r>
  </si>
  <si>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3.2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3.3</t>
    </r>
  </si>
  <si>
    <r>
      <rPr>
        <strike/>
        <sz val="12"/>
        <color rgb="FFFF0000"/>
        <rFont val="Calibri"/>
        <family val="2"/>
        <scheme val="minor"/>
      </rPr>
      <t>R4.</t>
    </r>
    <r>
      <rPr>
        <sz val="12"/>
        <color rgb="FFFF0000"/>
        <rFont val="Calibri"/>
        <family val="2"/>
        <scheme val="minor"/>
      </rPr>
      <t>Atch 1 Sect</t>
    </r>
    <r>
      <rPr>
        <sz val="12"/>
        <rFont val="Calibri"/>
        <family val="2"/>
        <scheme val="minor"/>
      </rPr>
      <t xml:space="preserve"> 1.5</t>
    </r>
  </si>
  <si>
    <r>
      <rPr>
        <strike/>
        <sz val="12"/>
        <color rgb="FFFF0000"/>
        <rFont val="Calibri"/>
        <family val="2"/>
        <scheme val="minor"/>
      </rPr>
      <t>R4.</t>
    </r>
    <r>
      <rPr>
        <sz val="12"/>
        <color rgb="FFFF0000"/>
        <rFont val="Calibri"/>
        <family val="2"/>
        <scheme val="minor"/>
      </rPr>
      <t>Atch 1 Sect</t>
    </r>
    <r>
      <rPr>
        <sz val="12"/>
        <rFont val="Calibri"/>
        <family val="2"/>
        <scheme val="minor"/>
      </rPr>
      <t xml:space="preserve"> 1.2
</t>
    </r>
    <r>
      <rPr>
        <strike/>
        <sz val="12"/>
        <color rgb="FFFF0000"/>
        <rFont val="Calibri"/>
        <family val="2"/>
        <scheme val="minor"/>
      </rPr>
      <t>R4.</t>
    </r>
    <r>
      <rPr>
        <sz val="12"/>
        <color rgb="FFFF0000"/>
        <rFont val="Calibri"/>
        <family val="2"/>
        <scheme val="minor"/>
      </rPr>
      <t>Atch 1 Sect</t>
    </r>
    <r>
      <rPr>
        <sz val="12"/>
        <rFont val="Calibri"/>
        <family val="2"/>
        <scheme val="minor"/>
      </rPr>
      <t xml:space="preserve"> 3.1</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</si>
  <si>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1.2
</t>
    </r>
    <r>
      <rPr>
        <strike/>
        <sz val="12"/>
        <color rgb="FFFF0000"/>
        <rFont val="Calibri"/>
        <family val="2"/>
        <scheme val="minor"/>
      </rPr>
      <t>R4.</t>
    </r>
    <r>
      <rPr>
        <sz val="12"/>
        <color rgb="FFFF0000"/>
        <rFont val="Calibri"/>
        <family val="2"/>
        <scheme val="minor"/>
      </rPr>
      <t xml:space="preserve">Atch 1 Sect </t>
    </r>
    <r>
      <rPr>
        <sz val="12"/>
        <rFont val="Calibri"/>
        <family val="2"/>
        <scheme val="minor"/>
      </rPr>
      <t>3.1</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</si>
  <si>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1.5</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</si>
  <si>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1.2
</t>
    </r>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1.6</t>
    </r>
  </si>
  <si>
    <r>
      <rPr>
        <strike/>
        <sz val="12"/>
        <color rgb="FFFF0000"/>
        <rFont val="Calibri"/>
        <family val="2"/>
        <scheme val="minor"/>
      </rPr>
      <t>R4.</t>
    </r>
    <r>
      <rPr>
        <sz val="12"/>
        <color rgb="FFFF0000"/>
        <rFont val="Calibri"/>
        <family val="2"/>
        <scheme val="minor"/>
      </rPr>
      <t>Atch 1 Sect</t>
    </r>
    <r>
      <rPr>
        <sz val="12"/>
        <rFont val="Calibri"/>
        <family val="2"/>
        <scheme val="minor"/>
      </rPr>
      <t xml:space="preserve"> 1.1</t>
    </r>
  </si>
  <si>
    <r>
      <rPr>
        <sz val="12"/>
        <color rgb="FFFF0000"/>
        <rFont val="Calibri"/>
        <family val="2"/>
        <scheme val="minor"/>
      </rPr>
      <t>Table</t>
    </r>
    <r>
      <rPr>
        <sz val="12"/>
        <rFont val="Calibri"/>
        <family val="2"/>
        <scheme val="minor"/>
      </rPr>
      <t xml:space="preserve"> R1
</t>
    </r>
    <r>
      <rPr>
        <sz val="12"/>
        <color rgb="FFFF0000"/>
        <rFont val="Calibri"/>
        <family val="2"/>
        <scheme val="minor"/>
      </rPr>
      <t>Table</t>
    </r>
    <r>
      <rPr>
        <sz val="12"/>
        <rFont val="Calibri"/>
        <family val="2"/>
        <scheme val="minor"/>
      </rPr>
      <t xml:space="preserve"> R2</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</si>
  <si>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1.3
</t>
    </r>
    <r>
      <rPr>
        <strike/>
        <sz val="12"/>
        <color rgb="FFFF0000"/>
        <rFont val="Calibri"/>
        <family val="2"/>
        <scheme val="minor"/>
      </rPr>
      <t>R4.</t>
    </r>
    <r>
      <rPr>
        <sz val="12"/>
        <color rgb="FFFF0000"/>
        <rFont val="Calibri"/>
        <family val="2"/>
        <scheme val="minor"/>
      </rPr>
      <t>Atch 1 Sect</t>
    </r>
    <r>
      <rPr>
        <sz val="12"/>
        <rFont val="Calibri"/>
        <family val="2"/>
        <scheme val="minor"/>
      </rPr>
      <t xml:space="preserve"> 2.1</t>
    </r>
  </si>
  <si>
    <r>
      <rPr>
        <sz val="12"/>
        <color rgb="FFFF0000"/>
        <rFont val="Calibri"/>
        <family val="2"/>
        <scheme val="minor"/>
      </rPr>
      <t>Table</t>
    </r>
    <r>
      <rPr>
        <sz val="12"/>
        <rFont val="Calibri"/>
        <family val="2"/>
        <scheme val="minor"/>
      </rPr>
      <t xml:space="preserve"> R1 </t>
    </r>
    <r>
      <rPr>
        <sz val="12"/>
        <color rgb="FFFF0000"/>
        <rFont val="Calibri"/>
        <family val="2"/>
        <scheme val="minor"/>
      </rPr>
      <t>Part</t>
    </r>
    <r>
      <rPr>
        <sz val="12"/>
        <rFont val="Calibri"/>
        <family val="2"/>
        <scheme val="minor"/>
      </rPr>
      <t xml:space="preserve"> 1.1</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</si>
  <si>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1.2</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</si>
  <si>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1.4
</t>
    </r>
    <r>
      <rPr>
        <strike/>
        <sz val="12"/>
        <color rgb="FFFF0000"/>
        <rFont val="Calibri"/>
        <family val="2"/>
        <scheme val="minor"/>
      </rPr>
      <t>R4.</t>
    </r>
    <r>
      <rPr>
        <sz val="12"/>
        <color rgb="FFFF0000"/>
        <rFont val="Calibri"/>
        <family val="2"/>
        <scheme val="minor"/>
      </rPr>
      <t>Atch 1 Sect</t>
    </r>
    <r>
      <rPr>
        <sz val="12"/>
        <rFont val="Calibri"/>
        <family val="2"/>
        <scheme val="minor"/>
      </rPr>
      <t xml:space="preserve"> 2.2
</t>
    </r>
    <r>
      <rPr>
        <strike/>
        <sz val="12"/>
        <color rgb="FFFF0000"/>
        <rFont val="Calibri"/>
        <family val="2"/>
        <scheme val="minor"/>
      </rPr>
      <t>R4.</t>
    </r>
    <r>
      <rPr>
        <sz val="12"/>
        <color rgb="FFFF0000"/>
        <rFont val="Calibri"/>
        <family val="2"/>
        <scheme val="minor"/>
      </rPr>
      <t xml:space="preserve">Atch 1 Sect </t>
    </r>
    <r>
      <rPr>
        <sz val="12"/>
        <rFont val="Calibri"/>
        <family val="2"/>
        <scheme val="minor"/>
      </rPr>
      <t>3.2</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</si>
  <si>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1.4
</t>
    </r>
    <r>
      <rPr>
        <strike/>
        <sz val="12"/>
        <color rgb="FFFF0000"/>
        <rFont val="Calibri"/>
        <family val="2"/>
        <scheme val="minor"/>
      </rPr>
      <t>R4.</t>
    </r>
    <r>
      <rPr>
        <sz val="12"/>
        <color rgb="FFFF0000"/>
        <rFont val="Calibri"/>
        <family val="2"/>
        <scheme val="minor"/>
      </rPr>
      <t>Atch 1 Sect</t>
    </r>
    <r>
      <rPr>
        <sz val="12"/>
        <rFont val="Calibri"/>
        <family val="2"/>
        <scheme val="minor"/>
      </rPr>
      <t xml:space="preserve"> 2.2
</t>
    </r>
    <r>
      <rPr>
        <strike/>
        <sz val="12"/>
        <color rgb="FFFF0000"/>
        <rFont val="Calibri"/>
        <family val="2"/>
        <scheme val="minor"/>
      </rPr>
      <t>R4.</t>
    </r>
    <r>
      <rPr>
        <sz val="12"/>
        <color rgb="FFFF0000"/>
        <rFont val="Calibri"/>
        <family val="2"/>
        <scheme val="minor"/>
      </rPr>
      <t>Atch 1 Sect</t>
    </r>
    <r>
      <rPr>
        <sz val="12"/>
        <rFont val="Calibri"/>
        <family val="2"/>
        <scheme val="minor"/>
      </rPr>
      <t xml:space="preserve"> 3.2</t>
    </r>
  </si>
  <si>
    <r>
      <rPr>
        <strike/>
        <sz val="12"/>
        <color rgb="FFFF0000"/>
        <rFont val="Calibri"/>
        <family val="2"/>
        <scheme val="minor"/>
      </rPr>
      <t>R4.</t>
    </r>
    <r>
      <rPr>
        <sz val="12"/>
        <color rgb="FFFF0000"/>
        <rFont val="Calibri"/>
        <family val="2"/>
        <scheme val="minor"/>
      </rPr>
      <t xml:space="preserve">Atch 1 Sect </t>
    </r>
    <r>
      <rPr>
        <sz val="12"/>
        <rFont val="Calibri"/>
        <family val="2"/>
        <scheme val="minor"/>
      </rPr>
      <t xml:space="preserve">1.4
</t>
    </r>
    <r>
      <rPr>
        <strike/>
        <sz val="12"/>
        <color rgb="FFFF0000"/>
        <rFont val="Calibri"/>
        <family val="2"/>
        <scheme val="minor"/>
      </rPr>
      <t>R4.</t>
    </r>
    <r>
      <rPr>
        <sz val="12"/>
        <color rgb="FFFF0000"/>
        <rFont val="Calibri"/>
        <family val="2"/>
        <scheme val="minor"/>
      </rPr>
      <t xml:space="preserve">Atch 1 Sect </t>
    </r>
    <r>
      <rPr>
        <sz val="12"/>
        <rFont val="Calibri"/>
        <family val="2"/>
        <scheme val="minor"/>
      </rPr>
      <t>2.2</t>
    </r>
  </si>
  <si>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3.2</t>
    </r>
  </si>
  <si>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3.3</t>
    </r>
  </si>
  <si>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3.2
</t>
    </r>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3.3</t>
    </r>
  </si>
  <si>
    <r>
      <rPr>
        <sz val="12"/>
        <color rgb="FFFF0000"/>
        <rFont val="Calibri"/>
        <family val="2"/>
        <scheme val="minor"/>
      </rPr>
      <t>Table</t>
    </r>
    <r>
      <rPr>
        <sz val="12"/>
        <rFont val="Calibri"/>
        <family val="2"/>
        <scheme val="minor"/>
      </rPr>
      <t xml:space="preserve"> R3 </t>
    </r>
    <r>
      <rPr>
        <sz val="12"/>
        <color rgb="FFFF0000"/>
        <rFont val="Calibri"/>
        <family val="2"/>
        <scheme val="minor"/>
      </rPr>
      <t>Part</t>
    </r>
    <r>
      <rPr>
        <sz val="12"/>
        <rFont val="Calibri"/>
        <family val="2"/>
        <scheme val="minor"/>
      </rPr>
      <t xml:space="preserve"> 3.1</t>
    </r>
  </si>
  <si>
    <r>
      <t>Copyright © 202</t>
    </r>
    <r>
      <rPr>
        <strike/>
        <sz val="11"/>
        <color rgb="FFFF0000"/>
        <rFont val="Calibri"/>
        <family val="2"/>
        <scheme val="minor"/>
      </rPr>
      <t>4</t>
    </r>
    <r>
      <rPr>
        <sz val="11"/>
        <color rgb="FFFF0000"/>
        <rFont val="Calibri"/>
        <family val="2"/>
        <scheme val="minor"/>
      </rPr>
      <t>5</t>
    </r>
    <r>
      <rPr>
        <sz val="11"/>
        <color indexed="8"/>
        <rFont val="Calibri"/>
        <family val="2"/>
        <scheme val="minor"/>
      </rPr>
      <t xml:space="preserve"> North American Transmission Forum, Inc.</t>
    </r>
  </si>
  <si>
    <t>Questionnaire Area of Focus:</t>
  </si>
  <si>
    <t>Supplier Systems</t>
  </si>
  <si>
    <r>
      <t xml:space="preserve">Cybersecurity Framework Version </t>
    </r>
    <r>
      <rPr>
        <b/>
        <strike/>
        <sz val="12"/>
        <color rgb="FFFF0000"/>
        <rFont val="Calibri"/>
        <family val="2"/>
        <scheme val="minor"/>
      </rPr>
      <t>1.1</t>
    </r>
    <r>
      <rPr>
        <b/>
        <sz val="12"/>
        <color rgb="FFFF0000"/>
        <rFont val="Calibri"/>
        <family val="2"/>
        <scheme val="minor"/>
      </rPr>
      <t>2.0</t>
    </r>
  </si>
  <si>
    <r>
      <rPr>
        <strike/>
        <sz val="12"/>
        <color rgb="FFFF0000"/>
        <rFont val="Calibri"/>
        <family val="2"/>
        <scheme val="minor"/>
      </rPr>
      <t>ID.SC-4</t>
    </r>
    <r>
      <rPr>
        <sz val="12"/>
        <color rgb="FFFF0000"/>
        <rFont val="Calibri"/>
        <family val="2"/>
        <scheme val="minor"/>
      </rPr>
      <t xml:space="preserve"> GV.SC-07
ID.RA-10</t>
    </r>
  </si>
  <si>
    <r>
      <rPr>
        <strike/>
        <sz val="12"/>
        <color rgb="FFFF0000"/>
        <rFont val="Calibri"/>
        <family val="2"/>
        <scheme val="minor"/>
      </rPr>
      <t>ID.SC-3</t>
    </r>
    <r>
      <rPr>
        <sz val="12"/>
        <color rgb="FFFF0000"/>
        <rFont val="Calibri"/>
        <family val="2"/>
        <scheme val="minor"/>
      </rPr>
      <t xml:space="preserve"> GV.SC-05</t>
    </r>
  </si>
  <si>
    <r>
      <rPr>
        <strike/>
        <sz val="12"/>
        <color rgb="FFFF0000"/>
        <rFont val="Calibri"/>
        <family val="2"/>
        <scheme val="minor"/>
      </rPr>
      <t xml:space="preserve">ID.SC-1 </t>
    </r>
    <r>
      <rPr>
        <sz val="12"/>
        <color rgb="FFFF0000"/>
        <rFont val="Calibri"/>
        <family val="2"/>
        <scheme val="minor"/>
      </rPr>
      <t>GV.SC-01</t>
    </r>
  </si>
  <si>
    <r>
      <rPr>
        <strike/>
        <sz val="12"/>
        <color rgb="FFFF0000"/>
        <rFont val="Calibri"/>
        <family val="2"/>
        <scheme val="minor"/>
      </rPr>
      <t>PR.AC-2</t>
    </r>
    <r>
      <rPr>
        <sz val="12"/>
        <color rgb="FFFF0000"/>
        <rFont val="Calibri"/>
        <family val="2"/>
        <scheme val="minor"/>
      </rPr>
      <t xml:space="preserve"> PR.AA-01
PR.AA-06
PR.AA-05
PR.IR-01
PR.AA-02
PR.AA-03
PR.DS-01</t>
    </r>
  </si>
  <si>
    <r>
      <rPr>
        <strike/>
        <sz val="12"/>
        <color rgb="FFFF0000"/>
        <rFont val="Calibri"/>
        <family val="2"/>
        <scheme val="minor"/>
      </rPr>
      <t>PR.AC-1</t>
    </r>
    <r>
      <rPr>
        <sz val="12"/>
        <color rgb="FFFF0000"/>
        <rFont val="Calibri"/>
        <family val="2"/>
        <scheme val="minor"/>
      </rPr>
      <t xml:space="preserve"> PR.AA-05</t>
    </r>
  </si>
  <si>
    <t>Do you establish and maintain a process that ensures the security of system-to-system remote access including protection of data at rest and data in transit?</t>
  </si>
  <si>
    <r>
      <rPr>
        <strike/>
        <sz val="11"/>
        <color rgb="FFFF0000"/>
        <rFont val="Calibri"/>
        <family val="2"/>
        <scheme val="minor"/>
      </rPr>
      <t xml:space="preserve">Revision </t>
    </r>
    <r>
      <rPr>
        <sz val="11"/>
        <rFont val="Calibri"/>
        <family val="2"/>
        <scheme val="minor"/>
      </rPr>
      <t>Notes</t>
    </r>
  </si>
  <si>
    <r>
      <t>Describe how you perform security assessments of third-party companies with which you share data (i.e., hosting providers, cloud services, PaaS, IaaS, SaaS,</t>
    </r>
    <r>
      <rPr>
        <sz val="11"/>
        <color rgb="FFFF0000"/>
        <rFont val="Verdana"/>
        <family val="2"/>
      </rPr>
      <t xml:space="preserve"> AI services,</t>
    </r>
    <r>
      <rPr>
        <sz val="11"/>
        <rFont val="Verdana"/>
        <family val="2"/>
      </rPr>
      <t xml:space="preserve"> etc.). Provide a summary of your practices and/or controls that assure the third party will be subject to the appropriate standards regarding security, service recoverability, and confidentiality.</t>
    </r>
  </si>
  <si>
    <r>
      <t xml:space="preserve">Do you have controls in place to prevent unauthorized access </t>
    </r>
    <r>
      <rPr>
        <strike/>
        <sz val="11"/>
        <color rgb="FFFF0000"/>
        <rFont val="Verdana"/>
        <family val="2"/>
      </rPr>
      <t>to</t>
    </r>
    <r>
      <rPr>
        <sz val="11"/>
        <color rgb="FFFF0000"/>
        <rFont val="Verdana"/>
        <family val="2"/>
      </rPr>
      <t>from</t>
    </r>
    <r>
      <rPr>
        <sz val="11"/>
        <rFont val="Verdana"/>
        <family val="2"/>
      </rPr>
      <t xml:space="preserve"> any other system through supplier's connection to </t>
    </r>
    <r>
      <rPr>
        <strike/>
        <sz val="11"/>
        <color rgb="FFFF0000"/>
        <rFont val="Verdana"/>
        <family val="2"/>
      </rPr>
      <t>other</t>
    </r>
    <r>
      <rPr>
        <sz val="11"/>
        <color rgb="FFFF0000"/>
        <rFont val="Verdana"/>
        <family val="2"/>
      </rPr>
      <t>entity</t>
    </r>
    <r>
      <rPr>
        <sz val="11"/>
        <rFont val="Verdana"/>
        <family val="2"/>
      </rPr>
      <t xml:space="preserve"> systems</t>
    </r>
    <r>
      <rPr>
        <strike/>
        <sz val="11"/>
        <color rgb="FFFF0000"/>
        <rFont val="Verdana"/>
        <family val="2"/>
      </rPr>
      <t xml:space="preserve"> (i.e., no path or bridge)</t>
    </r>
    <r>
      <rPr>
        <sz val="11"/>
        <rFont val="Verdana"/>
        <family val="2"/>
      </rPr>
      <t>?</t>
    </r>
  </si>
  <si>
    <r>
      <t xml:space="preserve">Does your information protection program prohibit access to </t>
    </r>
    <r>
      <rPr>
        <strike/>
        <sz val="11"/>
        <color rgb="FFFF0000"/>
        <rFont val="Verdana"/>
        <family val="2"/>
      </rPr>
      <t>purchaser's</t>
    </r>
    <r>
      <rPr>
        <sz val="11"/>
        <color rgb="FFFF0000"/>
        <rFont val="Verdana"/>
        <family val="2"/>
      </rPr>
      <t>entity's</t>
    </r>
    <r>
      <rPr>
        <sz val="11"/>
        <rFont val="Verdana"/>
        <family val="2"/>
      </rPr>
      <t xml:space="preserve"> data without </t>
    </r>
    <r>
      <rPr>
        <sz val="11"/>
        <color rgb="FFFF0000"/>
        <rFont val="Verdana"/>
        <family val="2"/>
      </rPr>
      <t>entity</t>
    </r>
    <r>
      <rPr>
        <sz val="11"/>
        <rFont val="Verdana"/>
        <family val="2"/>
      </rPr>
      <t xml:space="preserve"> authorization?</t>
    </r>
  </si>
  <si>
    <r>
      <t xml:space="preserve">Do you have a documented program to identify, classify, protect, manage, and maintain sensitive information </t>
    </r>
    <r>
      <rPr>
        <sz val="11"/>
        <color rgb="FFFF0000"/>
        <rFont val="Verdana"/>
        <family val="2"/>
      </rPr>
      <t>(including data that may be processed by artificial intelligence models)</t>
    </r>
    <r>
      <rPr>
        <sz val="11"/>
        <rFont val="Verdana"/>
        <family val="2"/>
      </rPr>
      <t>?</t>
    </r>
  </si>
  <si>
    <r>
      <t xml:space="preserve">Does your information protection program address </t>
    </r>
    <r>
      <rPr>
        <strike/>
        <sz val="11"/>
        <color rgb="FFFF0000"/>
        <rFont val="Verdana"/>
        <family val="2"/>
      </rPr>
      <t xml:space="preserve">all </t>
    </r>
    <r>
      <rPr>
        <sz val="11"/>
        <color rgb="FFFF0000"/>
        <rFont val="Verdana"/>
        <family val="2"/>
      </rPr>
      <t>locations (on-site &amp; off-site) and</t>
    </r>
    <r>
      <rPr>
        <sz val="11"/>
        <rFont val="Verdana"/>
        <family val="2"/>
      </rPr>
      <t xml:space="preserve"> technologies in use (e.g., </t>
    </r>
    <r>
      <rPr>
        <strike/>
        <sz val="11"/>
        <color rgb="FFFF0000"/>
        <rFont val="Verdana"/>
        <family val="2"/>
      </rPr>
      <t>on-premise, co-located, off-site,</t>
    </r>
    <r>
      <rPr>
        <sz val="11"/>
        <rFont val="Verdana"/>
        <family val="2"/>
      </rPr>
      <t xml:space="preserve"> cloud, </t>
    </r>
    <r>
      <rPr>
        <sz val="11"/>
        <color rgb="FFFF0000"/>
        <rFont val="Verdana"/>
        <family val="2"/>
      </rPr>
      <t>virtualization, artificial intelligence</t>
    </r>
    <r>
      <rPr>
        <strike/>
        <sz val="11"/>
        <color rgb="FFFF0000"/>
        <rFont val="Verdana"/>
        <family val="2"/>
      </rPr>
      <t>, etc.</t>
    </r>
    <r>
      <rPr>
        <sz val="11"/>
        <rFont val="Verdana"/>
        <family val="2"/>
      </rPr>
      <t>)?</t>
    </r>
  </si>
  <si>
    <r>
      <t>Does your organization have a data privacy policy that applies to your computing systems</t>
    </r>
    <r>
      <rPr>
        <sz val="11"/>
        <color rgb="FFFF0000"/>
        <rFont val="Verdana"/>
        <family val="2"/>
      </rPr>
      <t xml:space="preserve"> (including artificial intelligence models)</t>
    </r>
    <r>
      <rPr>
        <sz val="11"/>
        <rFont val="Verdana"/>
        <family val="2"/>
      </rPr>
      <t>?</t>
    </r>
  </si>
  <si>
    <r>
      <t xml:space="preserve">Is </t>
    </r>
    <r>
      <rPr>
        <sz val="11"/>
        <color rgb="FFFF0000"/>
        <rFont val="Verdana"/>
        <family val="2"/>
      </rPr>
      <t>utility</t>
    </r>
    <r>
      <rPr>
        <sz val="11"/>
        <rFont val="Verdana"/>
        <family val="2"/>
      </rPr>
      <t xml:space="preserve"> data co-mingled in your databases</t>
    </r>
    <r>
      <rPr>
        <sz val="11"/>
        <color rgb="FFFF0000"/>
        <rFont val="Verdana"/>
        <family val="2"/>
      </rPr>
      <t xml:space="preserve"> or artificial intelligence models</t>
    </r>
    <r>
      <rPr>
        <sz val="11"/>
        <rFont val="Verdana"/>
        <family val="2"/>
      </rPr>
      <t>?</t>
    </r>
  </si>
  <si>
    <r>
      <rPr>
        <strike/>
        <sz val="12"/>
        <color rgb="FFFF0000"/>
        <rFont val="Calibri"/>
        <family val="2"/>
        <scheme val="minor"/>
      </rPr>
      <t>PR.DS-3</t>
    </r>
    <r>
      <rPr>
        <sz val="12"/>
        <color rgb="FFFF0000"/>
        <rFont val="Calibri"/>
        <family val="2"/>
        <scheme val="minor"/>
      </rPr>
      <t xml:space="preserve"> ID.AM-08</t>
    </r>
  </si>
  <si>
    <r>
      <t xml:space="preserve">GV.SC-05
GV.SC-07
</t>
    </r>
    <r>
      <rPr>
        <strike/>
        <sz val="12"/>
        <color rgb="FFFF0000"/>
        <rFont val="Calibri"/>
        <family val="2"/>
        <scheme val="minor"/>
      </rPr>
      <t>PR.DS-6</t>
    </r>
    <r>
      <rPr>
        <sz val="12"/>
        <color rgb="FFFF0000"/>
        <rFont val="Calibri"/>
        <family val="2"/>
        <scheme val="minor"/>
      </rPr>
      <t xml:space="preserve"> PR.DS-01
</t>
    </r>
    <r>
      <rPr>
        <strike/>
        <sz val="12"/>
        <color rgb="FFFF0000"/>
        <rFont val="Calibri"/>
        <family val="2"/>
        <scheme val="minor"/>
      </rPr>
      <t>PR.DS-8</t>
    </r>
    <r>
      <rPr>
        <sz val="12"/>
        <color rgb="FFFF0000"/>
        <rFont val="Calibri"/>
        <family val="2"/>
        <scheme val="minor"/>
      </rPr>
      <t xml:space="preserve"> ID.RA-09</t>
    </r>
  </si>
  <si>
    <r>
      <t xml:space="preserve">DE.CM-03
DE.CM-09
</t>
    </r>
    <r>
      <rPr>
        <strike/>
        <sz val="12"/>
        <color rgb="FFFF0000"/>
        <rFont val="Calibri"/>
        <family val="2"/>
        <scheme val="minor"/>
      </rPr>
      <t>PR.DS-5</t>
    </r>
    <r>
      <rPr>
        <sz val="12"/>
        <color rgb="FFFF0000"/>
        <rFont val="Calibri"/>
        <family val="2"/>
        <scheme val="minor"/>
      </rPr>
      <t xml:space="preserve"> PR.DS-10
RS.CO-02
RS.CO-03</t>
    </r>
  </si>
  <si>
    <r>
      <rPr>
        <strike/>
        <sz val="12"/>
        <color rgb="FFFF0000"/>
        <rFont val="Calibri"/>
        <family val="2"/>
        <scheme val="minor"/>
      </rPr>
      <t xml:space="preserve">PR.IP-11 </t>
    </r>
    <r>
      <rPr>
        <sz val="12"/>
        <color rgb="FFFF0000"/>
        <rFont val="Calibri"/>
        <family val="2"/>
        <scheme val="minor"/>
      </rPr>
      <t>GV.RR-04</t>
    </r>
  </si>
  <si>
    <r>
      <rPr>
        <strike/>
        <sz val="12"/>
        <color rgb="FFFF0000"/>
        <rFont val="Calibri"/>
        <family val="2"/>
        <scheme val="minor"/>
      </rPr>
      <t>PR.AC-1</t>
    </r>
    <r>
      <rPr>
        <sz val="12"/>
        <color rgb="FFFF0000"/>
        <rFont val="Calibri"/>
        <family val="2"/>
        <scheme val="minor"/>
      </rPr>
      <t xml:space="preserve"> PR.AA-05
PR.AA-02</t>
    </r>
  </si>
  <si>
    <r>
      <rPr>
        <strike/>
        <sz val="12"/>
        <color rgb="FFFF0000"/>
        <rFont val="Calibri"/>
        <family val="2"/>
        <scheme val="minor"/>
      </rPr>
      <t>PR.AC-1</t>
    </r>
    <r>
      <rPr>
        <sz val="12"/>
        <color rgb="FFFF0000"/>
        <rFont val="Calibri"/>
        <family val="2"/>
        <scheme val="minor"/>
      </rPr>
      <t xml:space="preserve"> PR.AA-05
PR.PS-01</t>
    </r>
  </si>
  <si>
    <r>
      <t xml:space="preserve">DE.CM-01
DE.CM-09
PR.IR-01
</t>
    </r>
    <r>
      <rPr>
        <strike/>
        <sz val="12"/>
        <color rgb="FFFF0000"/>
        <rFont val="Calibri"/>
        <family val="2"/>
        <scheme val="minor"/>
      </rPr>
      <t>PR.IP-2</t>
    </r>
    <r>
      <rPr>
        <sz val="12"/>
        <color rgb="FFFF0000"/>
        <rFont val="Calibri"/>
        <family val="2"/>
        <scheme val="minor"/>
      </rPr>
      <t xml:space="preserve"> ID.AM-08
ID.RA-07</t>
    </r>
  </si>
  <si>
    <r>
      <rPr>
        <sz val="12"/>
        <color rgb="FFFF0000"/>
        <rFont val="Calibri"/>
        <family val="2"/>
        <scheme val="minor"/>
      </rPr>
      <t xml:space="preserve">GV.SC-05
GV.SC-07
</t>
    </r>
    <r>
      <rPr>
        <strike/>
        <sz val="12"/>
        <color rgb="FFFF0000"/>
        <rFont val="Calibri"/>
        <family val="2"/>
        <scheme val="minor"/>
      </rPr>
      <t>PR.DS-6</t>
    </r>
    <r>
      <rPr>
        <sz val="12"/>
        <color rgb="FFFF0000"/>
        <rFont val="Calibri"/>
        <family val="2"/>
        <scheme val="minor"/>
      </rPr>
      <t xml:space="preserve"> PR.DS-01
ID.RA-09</t>
    </r>
  </si>
  <si>
    <r>
      <rPr>
        <sz val="12"/>
        <color rgb="FFFF0000"/>
        <rFont val="Calibri"/>
        <family val="2"/>
        <scheme val="minor"/>
      </rPr>
      <t xml:space="preserve">ID.RA-1
ID.RA-01
</t>
    </r>
    <r>
      <rPr>
        <strike/>
        <sz val="12"/>
        <color rgb="FFFF0000"/>
        <rFont val="Calibri"/>
        <family val="2"/>
        <scheme val="minor"/>
      </rPr>
      <t>PR.DS-6</t>
    </r>
    <r>
      <rPr>
        <sz val="12"/>
        <color rgb="FFFF0000"/>
        <rFont val="Calibri"/>
        <family val="2"/>
        <scheme val="minor"/>
      </rPr>
      <t xml:space="preserve"> PR.DS-01
</t>
    </r>
    <r>
      <rPr>
        <strike/>
        <sz val="12"/>
        <color rgb="FFFF0000"/>
        <rFont val="Calibri"/>
        <family val="2"/>
        <scheme val="minor"/>
      </rPr>
      <t>PR.DS-8</t>
    </r>
    <r>
      <rPr>
        <sz val="12"/>
        <color rgb="FFFF0000"/>
        <rFont val="Calibri"/>
        <family val="2"/>
        <scheme val="minor"/>
      </rPr>
      <t xml:space="preserve"> ID.RA-09
ID.RA-01
ID.RA-08
ID.RA-06</t>
    </r>
  </si>
  <si>
    <r>
      <rPr>
        <strike/>
        <sz val="12"/>
        <color rgb="FFFF0000"/>
        <rFont val="Calibri"/>
        <family val="2"/>
        <scheme val="minor"/>
      </rPr>
      <t>DE.CM-8</t>
    </r>
    <r>
      <rPr>
        <sz val="12"/>
        <color rgb="FFFF0000"/>
        <rFont val="Calibri"/>
        <family val="2"/>
        <scheme val="minor"/>
      </rPr>
      <t xml:space="preserve"> ID.RA-01</t>
    </r>
  </si>
  <si>
    <t>PR.AT-01</t>
  </si>
  <si>
    <r>
      <rPr>
        <strike/>
        <sz val="12"/>
        <color rgb="FFFF0000"/>
        <rFont val="Calibri"/>
        <family val="2"/>
        <scheme val="minor"/>
      </rPr>
      <t xml:space="preserve">PR.AC-1 </t>
    </r>
    <r>
      <rPr>
        <sz val="12"/>
        <color rgb="FFFF0000"/>
        <rFont val="Calibri"/>
        <family val="2"/>
        <scheme val="minor"/>
      </rPr>
      <t>PR.AA-01
PR.AA-02
PR.AA-03
PR.AA-05
PR.IR-01
PR.PS-01</t>
    </r>
  </si>
  <si>
    <r>
      <rPr>
        <strike/>
        <sz val="12"/>
        <color rgb="FFFF0000"/>
        <rFont val="Calibri"/>
        <family val="2"/>
        <scheme val="minor"/>
      </rPr>
      <t>PR.AC-7</t>
    </r>
    <r>
      <rPr>
        <sz val="12"/>
        <color rgb="FFFF0000"/>
        <rFont val="Calibri"/>
        <family val="2"/>
        <scheme val="minor"/>
      </rPr>
      <t xml:space="preserve"> PR.AA-03</t>
    </r>
  </si>
  <si>
    <r>
      <rPr>
        <strike/>
        <sz val="12"/>
        <color rgb="FFFF0000"/>
        <rFont val="Calibri"/>
        <family val="2"/>
        <scheme val="minor"/>
      </rPr>
      <t>PR.AC-3</t>
    </r>
    <r>
      <rPr>
        <sz val="12"/>
        <color rgb="FFFF0000"/>
        <rFont val="Calibri"/>
        <family val="2"/>
        <scheme val="minor"/>
      </rPr>
      <t xml:space="preserve"> PR.AA-05</t>
    </r>
  </si>
  <si>
    <r>
      <t>PR.AA-02</t>
    </r>
    <r>
      <rPr>
        <strike/>
        <sz val="12"/>
        <color rgb="FFFF0000"/>
        <rFont val="Calibri"/>
        <family val="2"/>
        <scheme val="minor"/>
      </rPr>
      <t xml:space="preserve">
PR.AC-3</t>
    </r>
    <r>
      <rPr>
        <sz val="12"/>
        <color rgb="FFFF0000"/>
        <rFont val="Calibri"/>
        <family val="2"/>
        <scheme val="minor"/>
      </rPr>
      <t xml:space="preserve"> PR.AA-05</t>
    </r>
  </si>
  <si>
    <r>
      <rPr>
        <sz val="12"/>
        <color rgb="FFFF0000"/>
        <rFont val="Calibri"/>
        <family val="2"/>
        <scheme val="minor"/>
      </rPr>
      <t xml:space="preserve">PR.PS-01
PR.PS-01
</t>
    </r>
    <r>
      <rPr>
        <strike/>
        <sz val="12"/>
        <color rgb="FFFF0000"/>
        <rFont val="Calibri"/>
        <family val="2"/>
        <scheme val="minor"/>
      </rPr>
      <t>PR.PT-4</t>
    </r>
    <r>
      <rPr>
        <sz val="12"/>
        <color rgb="FFFF0000"/>
        <rFont val="Calibri"/>
        <family val="2"/>
        <scheme val="minor"/>
      </rPr>
      <t xml:space="preserve"> PR.IR-01
ID.AM-03</t>
    </r>
  </si>
  <si>
    <r>
      <rPr>
        <sz val="12"/>
        <color rgb="FFFF0000"/>
        <rFont val="Calibri"/>
        <family val="2"/>
        <scheme val="minor"/>
      </rPr>
      <t xml:space="preserve">PR.AA-05
</t>
    </r>
    <r>
      <rPr>
        <strike/>
        <sz val="12"/>
        <color rgb="FFFF0000"/>
        <rFont val="Calibri"/>
        <family val="2"/>
        <scheme val="minor"/>
      </rPr>
      <t>PR.AC-3</t>
    </r>
    <r>
      <rPr>
        <sz val="12"/>
        <color rgb="FFFF0000"/>
        <rFont val="Calibri"/>
        <family val="2"/>
        <scheme val="minor"/>
      </rPr>
      <t xml:space="preserve"> PR.IR-01</t>
    </r>
  </si>
  <si>
    <r>
      <rPr>
        <sz val="12"/>
        <color rgb="FFFF0000"/>
        <rFont val="Calibri"/>
        <family val="2"/>
        <scheme val="minor"/>
      </rPr>
      <t xml:space="preserve">ID.AM-08
</t>
    </r>
    <r>
      <rPr>
        <strike/>
        <sz val="12"/>
        <color rgb="FFFF0000"/>
        <rFont val="Calibri"/>
        <family val="2"/>
        <scheme val="minor"/>
      </rPr>
      <t>PR.PT-4</t>
    </r>
    <r>
      <rPr>
        <sz val="12"/>
        <color rgb="FFFF0000"/>
        <rFont val="Calibri"/>
        <family val="2"/>
        <scheme val="minor"/>
      </rPr>
      <t xml:space="preserve"> PR.IP-01</t>
    </r>
  </si>
  <si>
    <r>
      <rPr>
        <strike/>
        <sz val="12"/>
        <color rgb="FFFF0000"/>
        <rFont val="Calibri"/>
        <family val="2"/>
        <scheme val="minor"/>
      </rPr>
      <t>PR.AC-6</t>
    </r>
    <r>
      <rPr>
        <sz val="12"/>
        <color rgb="FFFF0000"/>
        <rFont val="Calibri"/>
        <family val="2"/>
        <scheme val="minor"/>
      </rPr>
      <t xml:space="preserve"> PR.AA-02</t>
    </r>
  </si>
  <si>
    <r>
      <rPr>
        <strike/>
        <sz val="12"/>
        <color rgb="FFFF0000"/>
        <rFont val="Calibri"/>
        <family val="2"/>
        <scheme val="minor"/>
      </rPr>
      <t xml:space="preserve">PR.AC-4 </t>
    </r>
    <r>
      <rPr>
        <sz val="12"/>
        <color rgb="FFFF0000"/>
        <rFont val="Calibri"/>
        <family val="2"/>
        <scheme val="minor"/>
      </rPr>
      <t>PR.AA-05</t>
    </r>
  </si>
  <si>
    <r>
      <rPr>
        <strike/>
        <sz val="12"/>
        <color rgb="FFFF0000"/>
        <rFont val="Calibri"/>
        <family val="2"/>
        <scheme val="minor"/>
      </rPr>
      <t>PR.AC-1</t>
    </r>
    <r>
      <rPr>
        <sz val="12"/>
        <rFont val="Calibri"/>
        <family val="2"/>
        <scheme val="minor"/>
      </rPr>
      <t xml:space="preserve">
</t>
    </r>
    <r>
      <rPr>
        <strike/>
        <sz val="12"/>
        <color rgb="FFFF0000"/>
        <rFont val="Calibri"/>
        <family val="2"/>
        <scheme val="minor"/>
      </rPr>
      <t>PR.AC-4</t>
    </r>
    <r>
      <rPr>
        <sz val="12"/>
        <color rgb="FFFF0000"/>
        <rFont val="Calibri"/>
        <family val="2"/>
        <scheme val="minor"/>
      </rPr>
      <t xml:space="preserve"> PR.AA-05</t>
    </r>
  </si>
  <si>
    <r>
      <rPr>
        <strike/>
        <sz val="12"/>
        <color rgb="FFFF0000"/>
        <rFont val="Calibri"/>
        <family val="2"/>
        <scheme val="minor"/>
      </rPr>
      <t>PR.AC-4</t>
    </r>
    <r>
      <rPr>
        <sz val="12"/>
        <color rgb="FFFF0000"/>
        <rFont val="Calibri"/>
        <family val="2"/>
        <scheme val="minor"/>
      </rPr>
      <t xml:space="preserve"> PR.AA-05</t>
    </r>
  </si>
  <si>
    <r>
      <rPr>
        <strike/>
        <sz val="12"/>
        <color rgb="FFFF0000"/>
        <rFont val="Calibri"/>
        <family val="2"/>
        <scheme val="minor"/>
      </rPr>
      <t xml:space="preserve">PR.AC-2 </t>
    </r>
    <r>
      <rPr>
        <sz val="12"/>
        <color rgb="FFFF0000"/>
        <rFont val="Calibri"/>
        <family val="2"/>
        <scheme val="minor"/>
      </rPr>
      <t>PR.AA-06</t>
    </r>
  </si>
  <si>
    <r>
      <rPr>
        <strike/>
        <sz val="12"/>
        <color rgb="FFFF0000"/>
        <rFont val="Calibri"/>
        <family val="2"/>
        <scheme val="minor"/>
      </rPr>
      <t>PR.AC-3</t>
    </r>
    <r>
      <rPr>
        <sz val="12"/>
        <color rgb="FFFF0000"/>
        <rFont val="Calibri"/>
        <family val="2"/>
        <scheme val="minor"/>
      </rPr>
      <t xml:space="preserve"> PR.AA-03</t>
    </r>
  </si>
  <si>
    <r>
      <rPr>
        <strike/>
        <sz val="12"/>
        <color rgb="FFFF0000"/>
        <rFont val="Calibri"/>
        <family val="2"/>
        <scheme val="minor"/>
      </rPr>
      <t>PR.IP-9</t>
    </r>
    <r>
      <rPr>
        <sz val="12"/>
        <color rgb="FFFF0000"/>
        <rFont val="Calibri"/>
        <family val="2"/>
        <scheme val="minor"/>
      </rPr>
      <t xml:space="preserve"> ID.IM-04</t>
    </r>
  </si>
  <si>
    <r>
      <rPr>
        <strike/>
        <sz val="12"/>
        <color rgb="FFFF0000"/>
        <rFont val="Calibri"/>
        <family val="2"/>
        <scheme val="minor"/>
      </rPr>
      <t>ID.GV-3</t>
    </r>
    <r>
      <rPr>
        <sz val="12"/>
        <color rgb="FFFF0000"/>
        <rFont val="Calibri"/>
        <family val="2"/>
        <scheme val="minor"/>
      </rPr>
      <t xml:space="preserve"> GV.OC-03
GV.PO-01</t>
    </r>
  </si>
  <si>
    <r>
      <rPr>
        <strike/>
        <sz val="12"/>
        <color rgb="FFFF0000"/>
        <rFont val="Calibri"/>
        <family val="2"/>
        <scheme val="minor"/>
      </rPr>
      <t>PR.DS-3</t>
    </r>
    <r>
      <rPr>
        <sz val="12"/>
        <color rgb="FFFF0000"/>
        <rFont val="Calibri"/>
        <family val="2"/>
        <scheme val="minor"/>
      </rPr>
      <t xml:space="preserve"> ID.AM-08
PR.PS-03
</t>
    </r>
    <r>
      <rPr>
        <strike/>
        <sz val="12"/>
        <color rgb="FFFF0000"/>
        <rFont val="Calibri"/>
        <family val="2"/>
        <scheme val="minor"/>
      </rPr>
      <t>PR.IP-6</t>
    </r>
    <r>
      <rPr>
        <sz val="12"/>
        <color rgb="FFFF0000"/>
        <rFont val="Calibri"/>
        <family val="2"/>
        <scheme val="minor"/>
      </rPr>
      <t xml:space="preserve"> ID.AM-08</t>
    </r>
  </si>
  <si>
    <r>
      <rPr>
        <sz val="12"/>
        <color rgb="FFFF0000"/>
        <rFont val="Calibri"/>
        <family val="2"/>
        <scheme val="minor"/>
      </rPr>
      <t xml:space="preserve">PR.PS-03
</t>
    </r>
    <r>
      <rPr>
        <strike/>
        <sz val="12"/>
        <color rgb="FFFF0000"/>
        <rFont val="Calibri"/>
        <family val="2"/>
        <scheme val="minor"/>
      </rPr>
      <t>PR.IP-6</t>
    </r>
    <r>
      <rPr>
        <sz val="12"/>
        <color rgb="FFFF0000"/>
        <rFont val="Calibri"/>
        <family val="2"/>
        <scheme val="minor"/>
      </rPr>
      <t xml:space="preserve"> ID.AM-08</t>
    </r>
  </si>
  <si>
    <t>ID.RA-10
GV.SC-07</t>
  </si>
  <si>
    <r>
      <rPr>
        <strike/>
        <sz val="12"/>
        <color rgb="FFFF0000"/>
        <rFont val="Calibri"/>
        <family val="2"/>
        <scheme val="minor"/>
      </rPr>
      <t xml:space="preserve">PR.DS-6 </t>
    </r>
    <r>
      <rPr>
        <sz val="12"/>
        <color rgb="FFFF0000"/>
        <rFont val="Calibri"/>
        <family val="2"/>
        <scheme val="minor"/>
      </rPr>
      <t xml:space="preserve">PR.DS-01
</t>
    </r>
    <r>
      <rPr>
        <strike/>
        <sz val="12"/>
        <color rgb="FFFF0000"/>
        <rFont val="Calibri"/>
        <family val="2"/>
        <scheme val="minor"/>
      </rPr>
      <t>PR.DS-7</t>
    </r>
    <r>
      <rPr>
        <sz val="12"/>
        <color rgb="FFFF0000"/>
        <rFont val="Calibri"/>
        <family val="2"/>
        <scheme val="minor"/>
      </rPr>
      <t xml:space="preserve"> PR.IR-01
</t>
    </r>
    <r>
      <rPr>
        <strike/>
        <sz val="12"/>
        <color rgb="FFFF0000"/>
        <rFont val="Calibri"/>
        <family val="2"/>
        <scheme val="minor"/>
      </rPr>
      <t>PR.DS-8</t>
    </r>
    <r>
      <rPr>
        <sz val="12"/>
        <color rgb="FFFF0000"/>
        <rFont val="Calibri"/>
        <family val="2"/>
        <scheme val="minor"/>
      </rPr>
      <t xml:space="preserve"> ID.RA-09
</t>
    </r>
    <r>
      <rPr>
        <strike/>
        <sz val="12"/>
        <color rgb="FFFF0000"/>
        <rFont val="Calibri"/>
        <family val="2"/>
        <scheme val="minor"/>
      </rPr>
      <t>PR.IP-2</t>
    </r>
    <r>
      <rPr>
        <sz val="12"/>
        <color rgb="FFFF0000"/>
        <rFont val="Calibri"/>
        <family val="2"/>
        <scheme val="minor"/>
      </rPr>
      <t xml:space="preserve"> PR.PS-06
</t>
    </r>
    <r>
      <rPr>
        <strike/>
        <sz val="12"/>
        <color rgb="FFFF0000"/>
        <rFont val="Calibri"/>
        <family val="2"/>
        <scheme val="minor"/>
      </rPr>
      <t>PR.IP-3</t>
    </r>
    <r>
      <rPr>
        <sz val="12"/>
        <color rgb="FFFF0000"/>
        <rFont val="Calibri"/>
        <family val="2"/>
        <scheme val="minor"/>
      </rPr>
      <t xml:space="preserve"> ID.RA-07</t>
    </r>
  </si>
  <si>
    <r>
      <rPr>
        <strike/>
        <sz val="12"/>
        <color rgb="FFFF0000"/>
        <rFont val="Calibri"/>
        <family val="2"/>
        <scheme val="minor"/>
      </rPr>
      <t>PR.DS-6</t>
    </r>
    <r>
      <rPr>
        <sz val="12"/>
        <color rgb="FFFF0000"/>
        <rFont val="Calibri"/>
        <family val="2"/>
        <scheme val="minor"/>
      </rPr>
      <t xml:space="preserve"> PR.DS-01</t>
    </r>
  </si>
  <si>
    <r>
      <t>Primary (52)
Supporting (44</t>
    </r>
    <r>
      <rPr>
        <strike/>
        <sz val="11"/>
        <color rgb="FFFF0000"/>
        <rFont val="Verdana"/>
        <family val="2"/>
      </rPr>
      <t>, 52</t>
    </r>
    <r>
      <rPr>
        <sz val="11"/>
        <rFont val="Verdana"/>
        <family val="2"/>
      </rPr>
      <t>)</t>
    </r>
  </si>
  <si>
    <r>
      <rPr>
        <strike/>
        <sz val="12"/>
        <color rgb="FFFF0000"/>
        <rFont val="Calibri"/>
        <family val="2"/>
        <scheme val="minor"/>
      </rPr>
      <t>PR.DS-1</t>
    </r>
    <r>
      <rPr>
        <sz val="12"/>
        <color rgb="FFFF0000"/>
        <rFont val="Calibri"/>
        <family val="2"/>
        <scheme val="minor"/>
      </rPr>
      <t xml:space="preserve">
DE.AE-02
DE.AE-03
DE.CM-01
</t>
    </r>
    <r>
      <rPr>
        <strike/>
        <sz val="12"/>
        <color rgb="FFFF0000"/>
        <rFont val="Calibri"/>
        <family val="2"/>
        <scheme val="minor"/>
      </rPr>
      <t>PR.DS-6</t>
    </r>
    <r>
      <rPr>
        <sz val="12"/>
        <color rgb="FFFF0000"/>
        <rFont val="Calibri"/>
        <family val="2"/>
        <scheme val="minor"/>
      </rPr>
      <t xml:space="preserve"> DE.CM-09
</t>
    </r>
    <r>
      <rPr>
        <strike/>
        <sz val="12"/>
        <color rgb="FFFF0000"/>
        <rFont val="Calibri"/>
        <family val="2"/>
        <scheme val="minor"/>
      </rPr>
      <t>PR.DS-8</t>
    </r>
  </si>
  <si>
    <r>
      <rPr>
        <strike/>
        <sz val="12"/>
        <color rgb="FFFF0000"/>
        <rFont val="Calibri"/>
        <family val="2"/>
        <scheme val="minor"/>
      </rPr>
      <t>PR.IP-12</t>
    </r>
    <r>
      <rPr>
        <sz val="12"/>
        <color rgb="FFFF0000"/>
        <rFont val="Calibri"/>
        <family val="2"/>
        <scheme val="minor"/>
      </rPr>
      <t xml:space="preserve"> PR.PS-02
</t>
    </r>
    <r>
      <rPr>
        <strike/>
        <sz val="12"/>
        <color rgb="FFFF0000"/>
        <rFont val="Calibri"/>
        <family val="2"/>
        <scheme val="minor"/>
      </rPr>
      <t>RS.MI-3</t>
    </r>
    <r>
      <rPr>
        <sz val="12"/>
        <color rgb="FFFF0000"/>
        <rFont val="Calibri"/>
        <family val="2"/>
        <scheme val="minor"/>
      </rPr>
      <t xml:space="preserve"> ID.RA-06</t>
    </r>
  </si>
  <si>
    <r>
      <rPr>
        <strike/>
        <sz val="12"/>
        <color rgb="FFFF0000"/>
        <rFont val="Calibri"/>
        <family val="2"/>
        <scheme val="minor"/>
      </rPr>
      <t>PR.IP-3</t>
    </r>
    <r>
      <rPr>
        <sz val="12"/>
        <color rgb="FFFF0000"/>
        <rFont val="Calibri"/>
        <family val="2"/>
        <scheme val="minor"/>
      </rPr>
      <t xml:space="preserve"> ID.RA-07
PR.PS-01</t>
    </r>
  </si>
  <si>
    <r>
      <rPr>
        <strike/>
        <sz val="12"/>
        <color rgb="FFFF0000"/>
        <rFont val="Calibri"/>
        <family val="2"/>
        <scheme val="minor"/>
      </rPr>
      <t xml:space="preserve">PR.IP-3 </t>
    </r>
    <r>
      <rPr>
        <sz val="12"/>
        <color rgb="FFFF0000"/>
        <rFont val="Calibri"/>
        <family val="2"/>
        <scheme val="minor"/>
      </rPr>
      <t>PR.PS-01</t>
    </r>
  </si>
  <si>
    <r>
      <t xml:space="preserve">PR.PS-02
</t>
    </r>
    <r>
      <rPr>
        <strike/>
        <sz val="12"/>
        <color rgb="FFFF0000"/>
        <rFont val="Calibri"/>
        <family val="2"/>
        <scheme val="minor"/>
      </rPr>
      <t>RS.MI-3</t>
    </r>
    <r>
      <rPr>
        <sz val="12"/>
        <color rgb="FFFF0000"/>
        <rFont val="Calibri"/>
        <family val="2"/>
        <scheme val="minor"/>
      </rPr>
      <t xml:space="preserve"> ID.RA-06</t>
    </r>
  </si>
  <si>
    <r>
      <rPr>
        <strike/>
        <sz val="12"/>
        <color rgb="FFFF0000"/>
        <rFont val="Calibri"/>
        <family val="2"/>
        <scheme val="minor"/>
      </rPr>
      <t>PR.IP-1</t>
    </r>
    <r>
      <rPr>
        <sz val="12"/>
        <color rgb="FFFF0000"/>
        <rFont val="Calibri"/>
        <family val="2"/>
        <scheme val="minor"/>
      </rPr>
      <t xml:space="preserve"> PR.PS-01</t>
    </r>
  </si>
  <si>
    <r>
      <rPr>
        <strike/>
        <sz val="12"/>
        <color rgb="FFFF0000"/>
        <rFont val="Calibri"/>
        <family val="2"/>
        <scheme val="minor"/>
      </rPr>
      <t>PR.IP-6</t>
    </r>
    <r>
      <rPr>
        <sz val="12"/>
        <color rgb="FFFF0000"/>
        <rFont val="Calibri"/>
        <family val="2"/>
        <scheme val="minor"/>
      </rPr>
      <t xml:space="preserve"> ID.AM-08</t>
    </r>
  </si>
  <si>
    <r>
      <rPr>
        <strike/>
        <sz val="12"/>
        <color rgb="FFFF0000"/>
        <rFont val="Calibri"/>
        <family val="2"/>
        <scheme val="minor"/>
      </rPr>
      <t>PR.IP-2</t>
    </r>
    <r>
      <rPr>
        <sz val="12"/>
        <color rgb="FFFF0000"/>
        <rFont val="Calibri"/>
        <family val="2"/>
        <scheme val="minor"/>
      </rPr>
      <t xml:space="preserve"> PR.PS-06</t>
    </r>
  </si>
  <si>
    <r>
      <rPr>
        <strike/>
        <sz val="12"/>
        <color rgb="FFFF0000"/>
        <rFont val="Calibri"/>
        <family val="2"/>
        <scheme val="minor"/>
      </rPr>
      <t>PR.IP-2</t>
    </r>
    <r>
      <rPr>
        <sz val="12"/>
        <color rgb="FFFF0000"/>
        <rFont val="Calibri"/>
        <family val="2"/>
        <scheme val="minor"/>
      </rPr>
      <t xml:space="preserve"> ID.AM-08</t>
    </r>
  </si>
  <si>
    <r>
      <rPr>
        <strike/>
        <sz val="12"/>
        <color rgb="FFFF0000"/>
        <rFont val="Calibri"/>
        <family val="2"/>
        <scheme val="minor"/>
      </rPr>
      <t>PR.IP-4</t>
    </r>
    <r>
      <rPr>
        <sz val="12"/>
        <color rgb="FFFF0000"/>
        <rFont val="Calibri"/>
        <family val="2"/>
        <scheme val="minor"/>
      </rPr>
      <t xml:space="preserve"> PR.DS-11</t>
    </r>
  </si>
  <si>
    <r>
      <rPr>
        <strike/>
        <sz val="12"/>
        <color rgb="FFFF0000"/>
        <rFont val="Calibri"/>
        <family val="2"/>
        <scheme val="minor"/>
      </rPr>
      <t>PR.IP-5</t>
    </r>
    <r>
      <rPr>
        <sz val="12"/>
        <color rgb="FFFF0000"/>
        <rFont val="Calibri"/>
        <family val="2"/>
        <scheme val="minor"/>
      </rPr>
      <t xml:space="preserve"> PR.IR-02</t>
    </r>
  </si>
  <si>
    <r>
      <rPr>
        <strike/>
        <sz val="12"/>
        <color rgb="FFFF0000"/>
        <rFont val="Calibri"/>
        <family val="2"/>
        <scheme val="minor"/>
      </rPr>
      <t>PR.IP-10</t>
    </r>
    <r>
      <rPr>
        <sz val="12"/>
        <color rgb="FFFF0000"/>
        <rFont val="Calibri"/>
        <family val="2"/>
        <scheme val="minor"/>
      </rPr>
      <t xml:space="preserve"> ID.IM-02</t>
    </r>
  </si>
  <si>
    <r>
      <rPr>
        <strike/>
        <sz val="12"/>
        <color rgb="FFFF0000"/>
        <rFont val="Calibri"/>
        <family val="2"/>
        <scheme val="minor"/>
      </rPr>
      <t>PR.DS-1</t>
    </r>
    <r>
      <rPr>
        <sz val="12"/>
        <color rgb="FFFF0000"/>
        <rFont val="Calibri"/>
        <family val="2"/>
        <scheme val="minor"/>
      </rPr>
      <t xml:space="preserve"> PR.DS-01
</t>
    </r>
    <r>
      <rPr>
        <strike/>
        <sz val="12"/>
        <color rgb="FFFF0000"/>
        <rFont val="Calibri"/>
        <family val="2"/>
        <scheme val="minor"/>
      </rPr>
      <t>PR.DS-2</t>
    </r>
    <r>
      <rPr>
        <sz val="12"/>
        <color rgb="FFFF0000"/>
        <rFont val="Calibri"/>
        <family val="2"/>
        <scheme val="minor"/>
      </rPr>
      <t xml:space="preserve"> PR.DS-02</t>
    </r>
  </si>
  <si>
    <r>
      <rPr>
        <strike/>
        <sz val="12"/>
        <color rgb="FFFF0000"/>
        <rFont val="Calibri"/>
        <family val="2"/>
        <scheme val="minor"/>
      </rPr>
      <t>PR.DS-1</t>
    </r>
    <r>
      <rPr>
        <sz val="12"/>
        <color rgb="FFFF0000"/>
        <rFont val="Calibri"/>
        <family val="2"/>
        <scheme val="minor"/>
      </rPr>
      <t xml:space="preserve"> PR.DS-01</t>
    </r>
  </si>
  <si>
    <r>
      <rPr>
        <strike/>
        <sz val="12"/>
        <color rgb="FFFF0000"/>
        <rFont val="Calibri"/>
        <family val="2"/>
        <scheme val="minor"/>
      </rPr>
      <t>PR.DS-2</t>
    </r>
    <r>
      <rPr>
        <sz val="12"/>
        <color rgb="FFFF0000"/>
        <rFont val="Calibri"/>
        <family val="2"/>
        <scheme val="minor"/>
      </rPr>
      <t xml:space="preserve"> PR.DS-02</t>
    </r>
  </si>
  <si>
    <r>
      <rPr>
        <strike/>
        <sz val="12"/>
        <color rgb="FFFF0000"/>
        <rFont val="Calibri"/>
        <family val="2"/>
        <scheme val="minor"/>
      </rPr>
      <t>PR.AC-3</t>
    </r>
    <r>
      <rPr>
        <sz val="12"/>
        <color rgb="FFFF0000"/>
        <rFont val="Calibri"/>
        <family val="2"/>
        <scheme val="minor"/>
      </rPr>
      <t xml:space="preserve"> PR.AA-03
</t>
    </r>
    <r>
      <rPr>
        <strike/>
        <sz val="12"/>
        <color rgb="FFFF0000"/>
        <rFont val="Calibri"/>
        <family val="2"/>
        <scheme val="minor"/>
      </rPr>
      <t>PR.DS-1</t>
    </r>
    <r>
      <rPr>
        <sz val="12"/>
        <color rgb="FFFF0000"/>
        <rFont val="Calibri"/>
        <family val="2"/>
        <scheme val="minor"/>
      </rPr>
      <t xml:space="preserve"> PR.DS-01
</t>
    </r>
    <r>
      <rPr>
        <strike/>
        <sz val="12"/>
        <color rgb="FFFF0000"/>
        <rFont val="Calibri"/>
        <family val="2"/>
        <scheme val="minor"/>
      </rPr>
      <t>PR.DS-2</t>
    </r>
    <r>
      <rPr>
        <sz val="12"/>
        <color rgb="FFFF0000"/>
        <rFont val="Calibri"/>
        <family val="2"/>
        <scheme val="minor"/>
      </rPr>
      <t xml:space="preserve"> PR.DS-02</t>
    </r>
  </si>
  <si>
    <r>
      <rPr>
        <strike/>
        <sz val="12"/>
        <color rgb="FFFF0000"/>
        <rFont val="Calibri"/>
        <family val="2"/>
        <scheme val="minor"/>
      </rPr>
      <t>PR.DS-7</t>
    </r>
    <r>
      <rPr>
        <sz val="12"/>
        <color rgb="FFFF0000"/>
        <rFont val="Calibri"/>
        <family val="2"/>
        <scheme val="minor"/>
      </rPr>
      <t xml:space="preserve"> PR.IR-01</t>
    </r>
  </si>
  <si>
    <r>
      <rPr>
        <strike/>
        <sz val="12"/>
        <color rgb="FFFF0000"/>
        <rFont val="Calibri"/>
        <family val="2"/>
        <scheme val="minor"/>
      </rPr>
      <t>DE.CM-1</t>
    </r>
    <r>
      <rPr>
        <sz val="12"/>
        <color rgb="FFFF0000"/>
        <rFont val="Calibri"/>
        <family val="2"/>
        <scheme val="minor"/>
      </rPr>
      <t xml:space="preserve"> DE.CM-01
DE.CM-03
</t>
    </r>
    <r>
      <rPr>
        <strike/>
        <sz val="12"/>
        <color rgb="FFFF0000"/>
        <rFont val="Calibri"/>
        <family val="2"/>
        <scheme val="minor"/>
      </rPr>
      <t>RS.RP-1</t>
    </r>
    <r>
      <rPr>
        <sz val="12"/>
        <color rgb="FFFF0000"/>
        <rFont val="Calibri"/>
        <family val="2"/>
        <scheme val="minor"/>
      </rPr>
      <t xml:space="preserve"> RS.MA-01
</t>
    </r>
    <r>
      <rPr>
        <strike/>
        <sz val="12"/>
        <color rgb="FFFF0000"/>
        <rFont val="Calibri"/>
        <family val="2"/>
        <scheme val="minor"/>
      </rPr>
      <t>RS.MI-2</t>
    </r>
    <r>
      <rPr>
        <sz val="12"/>
        <color rgb="FFFF0000"/>
        <rFont val="Calibri"/>
        <family val="2"/>
        <scheme val="minor"/>
      </rPr>
      <t xml:space="preserve"> RS.MI-02
</t>
    </r>
    <r>
      <rPr>
        <strike/>
        <sz val="12"/>
        <color rgb="FFFF0000"/>
        <rFont val="Calibri"/>
        <family val="2"/>
        <scheme val="minor"/>
      </rPr>
      <t>PR.DS-5</t>
    </r>
    <r>
      <rPr>
        <sz val="12"/>
        <color rgb="FFFF0000"/>
        <rFont val="Calibri"/>
        <family val="2"/>
        <scheme val="minor"/>
      </rPr>
      <t xml:space="preserve"> PR.DS-01
PR.DS-02
PR.DS-10</t>
    </r>
  </si>
  <si>
    <r>
      <rPr>
        <strike/>
        <sz val="12"/>
        <color rgb="FFFF0000"/>
        <rFont val="Calibri"/>
        <family val="2"/>
        <scheme val="minor"/>
      </rPr>
      <t>PR.IP-4</t>
    </r>
    <r>
      <rPr>
        <sz val="12"/>
        <color rgb="FFFF0000"/>
        <rFont val="Calibri"/>
        <family val="2"/>
        <scheme val="minor"/>
      </rPr>
      <t xml:space="preserve"> PR.DS-11
</t>
    </r>
    <r>
      <rPr>
        <strike/>
        <sz val="12"/>
        <color rgb="FFFF0000"/>
        <rFont val="Calibri"/>
        <family val="2"/>
        <scheme val="minor"/>
      </rPr>
      <t>PR.DS-1</t>
    </r>
    <r>
      <rPr>
        <sz val="12"/>
        <color rgb="FFFF0000"/>
        <rFont val="Calibri"/>
        <family val="2"/>
        <scheme val="minor"/>
      </rPr>
      <t xml:space="preserve"> PR.DS-01</t>
    </r>
  </si>
  <si>
    <r>
      <rPr>
        <strike/>
        <sz val="12"/>
        <color rgb="FFFF0000"/>
        <rFont val="Calibri"/>
        <family val="2"/>
        <scheme val="minor"/>
      </rPr>
      <t>PR.DS-6</t>
    </r>
    <r>
      <rPr>
        <sz val="12"/>
        <color rgb="FFFF0000"/>
        <rFont val="Calibri"/>
        <family val="2"/>
        <scheme val="minor"/>
      </rPr>
      <t xml:space="preserve"> DE.CM-09
</t>
    </r>
    <r>
      <rPr>
        <strike/>
        <sz val="12"/>
        <color rgb="FFFF0000"/>
        <rFont val="Calibri"/>
        <family val="2"/>
        <scheme val="minor"/>
      </rPr>
      <t>PR.DS-8</t>
    </r>
    <r>
      <rPr>
        <sz val="12"/>
        <color rgb="FFFF0000"/>
        <rFont val="Calibri"/>
        <family val="2"/>
        <scheme val="minor"/>
      </rPr>
      <t xml:space="preserve">
ID.RA-01
ID.RA-08
RS.CO-02
RS.CO-03
ID.RA-06</t>
    </r>
  </si>
  <si>
    <r>
      <rPr>
        <strike/>
        <sz val="12"/>
        <color rgb="FFFF0000"/>
        <rFont val="Calibri"/>
        <family val="2"/>
        <scheme val="minor"/>
      </rPr>
      <t xml:space="preserve">PR.DS-6 </t>
    </r>
    <r>
      <rPr>
        <sz val="12"/>
        <color rgb="FFFF0000"/>
        <rFont val="Calibri"/>
        <family val="2"/>
        <scheme val="minor"/>
      </rPr>
      <t>PR.DS-01</t>
    </r>
  </si>
  <si>
    <r>
      <rPr>
        <strike/>
        <sz val="12"/>
        <color rgb="FFFF0000"/>
        <rFont val="Calibri"/>
        <family val="2"/>
        <scheme val="minor"/>
      </rPr>
      <t>ID.RA-1</t>
    </r>
    <r>
      <rPr>
        <sz val="12"/>
        <color rgb="FFFF0000"/>
        <rFont val="Calibri"/>
        <family val="2"/>
        <scheme val="minor"/>
      </rPr>
      <t xml:space="preserve">
</t>
    </r>
    <r>
      <rPr>
        <strike/>
        <sz val="12"/>
        <color rgb="FFFF0000"/>
        <rFont val="Calibri"/>
        <family val="2"/>
        <scheme val="minor"/>
      </rPr>
      <t xml:space="preserve">DE.CM-8 </t>
    </r>
    <r>
      <rPr>
        <sz val="12"/>
        <color rgb="FFFF0000"/>
        <rFont val="Calibri"/>
        <family val="2"/>
        <scheme val="minor"/>
      </rPr>
      <t xml:space="preserve">ID.RA-01
</t>
    </r>
    <r>
      <rPr>
        <strike/>
        <sz val="12"/>
        <color rgb="FFFF0000"/>
        <rFont val="Calibri"/>
        <family val="2"/>
        <scheme val="minor"/>
      </rPr>
      <t>PR.DS-6</t>
    </r>
    <r>
      <rPr>
        <sz val="12"/>
        <color rgb="FFFF0000"/>
        <rFont val="Calibri"/>
        <family val="2"/>
        <scheme val="minor"/>
      </rPr>
      <t xml:space="preserve"> PR.DS-01
</t>
    </r>
    <r>
      <rPr>
        <strike/>
        <sz val="12"/>
        <color rgb="FFFF0000"/>
        <rFont val="Calibri"/>
        <family val="2"/>
        <scheme val="minor"/>
      </rPr>
      <t>PR.DS-8</t>
    </r>
    <r>
      <rPr>
        <sz val="12"/>
        <color rgb="FFFF0000"/>
        <rFont val="Calibri"/>
        <family val="2"/>
        <scheme val="minor"/>
      </rPr>
      <t xml:space="preserve"> ID.RA-09
PR.IP-12
</t>
    </r>
    <r>
      <rPr>
        <strike/>
        <sz val="12"/>
        <color rgb="FFFF0000"/>
        <rFont val="Calibri"/>
        <family val="2"/>
        <scheme val="minor"/>
      </rPr>
      <t>RS.AN-5</t>
    </r>
    <r>
      <rPr>
        <sz val="12"/>
        <color rgb="FFFF0000"/>
        <rFont val="Calibri"/>
        <family val="2"/>
        <scheme val="minor"/>
      </rPr>
      <t xml:space="preserve"> ID.RA-08
</t>
    </r>
    <r>
      <rPr>
        <strike/>
        <sz val="12"/>
        <color rgb="FFFF0000"/>
        <rFont val="Calibri"/>
        <family val="2"/>
        <scheme val="minor"/>
      </rPr>
      <t>RS.MI-3</t>
    </r>
    <r>
      <rPr>
        <sz val="12"/>
        <color rgb="FFFF0000"/>
        <rFont val="Calibri"/>
        <family val="2"/>
        <scheme val="minor"/>
      </rPr>
      <t xml:space="preserve"> ID.RA-06</t>
    </r>
  </si>
  <si>
    <r>
      <rPr>
        <strike/>
        <sz val="12"/>
        <color rgb="FFFF0000"/>
        <rFont val="Calibri"/>
        <family val="2"/>
        <scheme val="minor"/>
      </rPr>
      <t>DE.CM-4</t>
    </r>
    <r>
      <rPr>
        <sz val="12"/>
        <color rgb="FFFF0000"/>
        <rFont val="Calibri"/>
        <family val="2"/>
        <scheme val="minor"/>
      </rPr>
      <t xml:space="preserve"> DE.CM-09</t>
    </r>
  </si>
  <si>
    <r>
      <rPr>
        <strike/>
        <sz val="12"/>
        <color rgb="FFFF0000"/>
        <rFont val="Calibri"/>
        <family val="2"/>
        <scheme val="minor"/>
      </rPr>
      <t>PR.PT-4</t>
    </r>
    <r>
      <rPr>
        <sz val="12"/>
        <color rgb="FFFF0000"/>
        <rFont val="Calibri"/>
        <family val="2"/>
        <scheme val="minor"/>
      </rPr>
      <t xml:space="preserve"> PR.IR-01</t>
    </r>
  </si>
  <si>
    <r>
      <rPr>
        <strike/>
        <sz val="12"/>
        <color rgb="FFFF0000"/>
        <rFont val="Calibri"/>
        <family val="2"/>
        <scheme val="minor"/>
      </rPr>
      <t>PR.PT-5</t>
    </r>
    <r>
      <rPr>
        <sz val="12"/>
        <color rgb="FFFF0000"/>
        <rFont val="Calibri"/>
        <family val="2"/>
        <scheme val="minor"/>
      </rPr>
      <t xml:space="preserve"> PR.IR-03</t>
    </r>
  </si>
  <si>
    <r>
      <rPr>
        <strike/>
        <sz val="12"/>
        <color rgb="FFFF0000"/>
        <rFont val="Calibri"/>
        <family val="2"/>
        <scheme val="minor"/>
      </rPr>
      <t>PR.PT-2</t>
    </r>
    <r>
      <rPr>
        <sz val="12"/>
        <color rgb="FFFF0000"/>
        <rFont val="Calibri"/>
        <family val="2"/>
        <scheme val="minor"/>
      </rPr>
      <t xml:space="preserve"> PR.DS-01
PR.PS-01</t>
    </r>
  </si>
  <si>
    <r>
      <rPr>
        <strike/>
        <sz val="12"/>
        <color rgb="FFFF0000"/>
        <rFont val="Calibri"/>
        <family val="2"/>
        <scheme val="minor"/>
      </rPr>
      <t>PR.PT-4</t>
    </r>
    <r>
      <rPr>
        <sz val="12"/>
        <color rgb="FFFF0000"/>
        <rFont val="Calibri"/>
        <family val="2"/>
        <scheme val="minor"/>
      </rPr>
      <t xml:space="preserve"> PR.IR-01
</t>
    </r>
    <r>
      <rPr>
        <strike/>
        <sz val="12"/>
        <color rgb="FFFF0000"/>
        <rFont val="Calibri"/>
        <family val="2"/>
        <scheme val="minor"/>
      </rPr>
      <t xml:space="preserve">PR.AC-7 </t>
    </r>
    <r>
      <rPr>
        <sz val="12"/>
        <color rgb="FFFF0000"/>
        <rFont val="Calibri"/>
        <family val="2"/>
        <scheme val="minor"/>
      </rPr>
      <t>PR.AA-03</t>
    </r>
  </si>
  <si>
    <r>
      <rPr>
        <strike/>
        <sz val="12"/>
        <color rgb="FFFF0000"/>
        <rFont val="Calibri"/>
        <family val="2"/>
        <scheme val="minor"/>
      </rPr>
      <t>DE.CM-8</t>
    </r>
    <r>
      <rPr>
        <sz val="12"/>
        <color rgb="FFFF0000"/>
        <rFont val="Calibri"/>
        <family val="2"/>
        <scheme val="minor"/>
      </rPr>
      <t xml:space="preserve"> ID.RA-01
DE.CM-09</t>
    </r>
  </si>
  <si>
    <r>
      <rPr>
        <strike/>
        <sz val="12"/>
        <color rgb="FFFF0000"/>
        <rFont val="Calibri"/>
        <family val="2"/>
        <scheme val="minor"/>
      </rPr>
      <t>DE.CM-2</t>
    </r>
    <r>
      <rPr>
        <sz val="12"/>
        <color rgb="FFFF0000"/>
        <rFont val="Calibri"/>
        <family val="2"/>
        <scheme val="minor"/>
      </rPr>
      <t xml:space="preserve"> DE.CM-02</t>
    </r>
  </si>
  <si>
    <r>
      <rPr>
        <strike/>
        <sz val="12"/>
        <color rgb="FFFF0000"/>
        <rFont val="Calibri"/>
        <family val="2"/>
        <scheme val="minor"/>
      </rPr>
      <t>DE.CM-5</t>
    </r>
    <r>
      <rPr>
        <sz val="12"/>
        <color rgb="FFFF0000"/>
        <rFont val="Calibri"/>
        <family val="2"/>
        <scheme val="minor"/>
      </rPr>
      <t xml:space="preserve"> DE.CM-09</t>
    </r>
  </si>
  <si>
    <r>
      <rPr>
        <strike/>
        <sz val="12"/>
        <color rgb="FFFF0000"/>
        <rFont val="Calibri"/>
        <family val="2"/>
        <scheme val="minor"/>
      </rPr>
      <t>DE.CM-1</t>
    </r>
    <r>
      <rPr>
        <sz val="12"/>
        <color rgb="FFFF0000"/>
        <rFont val="Calibri"/>
        <family val="2"/>
        <scheme val="minor"/>
      </rPr>
      <t xml:space="preserve"> DE.CM-01
DE.CM-09
</t>
    </r>
    <r>
      <rPr>
        <strike/>
        <sz val="12"/>
        <color rgb="FFFF0000"/>
        <rFont val="Calibri"/>
        <family val="2"/>
        <scheme val="minor"/>
      </rPr>
      <t xml:space="preserve">PR.AC-5 </t>
    </r>
    <r>
      <rPr>
        <sz val="12"/>
        <color rgb="FFFF0000"/>
        <rFont val="Calibri"/>
        <family val="2"/>
        <scheme val="minor"/>
      </rPr>
      <t>PR.IR-01</t>
    </r>
  </si>
  <si>
    <r>
      <rPr>
        <strike/>
        <sz val="12"/>
        <color rgb="FFFF0000"/>
        <rFont val="Calibri"/>
        <family val="2"/>
        <scheme val="minor"/>
      </rPr>
      <t>DE.CM-1</t>
    </r>
    <r>
      <rPr>
        <sz val="12"/>
        <color rgb="FFFF0000"/>
        <rFont val="Calibri"/>
        <family val="2"/>
        <scheme val="minor"/>
      </rPr>
      <t xml:space="preserve"> DE.CM-01</t>
    </r>
  </si>
  <si>
    <r>
      <rPr>
        <strike/>
        <sz val="12"/>
        <color rgb="FFFF0000"/>
        <rFont val="Calibri"/>
        <family val="2"/>
        <scheme val="minor"/>
      </rPr>
      <t>DE.AE-3</t>
    </r>
    <r>
      <rPr>
        <sz val="12"/>
        <color rgb="FFFF0000"/>
        <rFont val="Calibri"/>
        <family val="2"/>
        <scheme val="minor"/>
      </rPr>
      <t xml:space="preserve"> DE.AE-03</t>
    </r>
  </si>
  <si>
    <r>
      <rPr>
        <strike/>
        <sz val="12"/>
        <color rgb="FFFF0000"/>
        <rFont val="Calibri"/>
        <family val="2"/>
        <scheme val="minor"/>
      </rPr>
      <t>DE.AE-2</t>
    </r>
    <r>
      <rPr>
        <sz val="12"/>
        <color rgb="FFFF0000"/>
        <rFont val="Calibri"/>
        <family val="2"/>
        <scheme val="minor"/>
      </rPr>
      <t xml:space="preserve"> DE.AE-02
</t>
    </r>
    <r>
      <rPr>
        <strike/>
        <sz val="12"/>
        <color rgb="FFFF0000"/>
        <rFont val="Calibri"/>
        <family val="2"/>
        <scheme val="minor"/>
      </rPr>
      <t>DE.AE-5</t>
    </r>
    <r>
      <rPr>
        <sz val="12"/>
        <color rgb="FFFF0000"/>
        <rFont val="Calibri"/>
        <family val="2"/>
        <scheme val="minor"/>
      </rPr>
      <t xml:space="preserve"> DE.AE-08</t>
    </r>
  </si>
  <si>
    <r>
      <rPr>
        <strike/>
        <sz val="12"/>
        <color rgb="FFFF0000"/>
        <rFont val="Calibri"/>
        <family val="2"/>
        <scheme val="minor"/>
      </rPr>
      <t>RS.CO-2</t>
    </r>
    <r>
      <rPr>
        <sz val="12"/>
        <color rgb="FFFF0000"/>
        <rFont val="Calibri"/>
        <family val="2"/>
        <scheme val="minor"/>
      </rPr>
      <t xml:space="preserve"> RS.CO-02
</t>
    </r>
    <r>
      <rPr>
        <strike/>
        <sz val="12"/>
        <color rgb="FFFF0000"/>
        <rFont val="Calibri"/>
        <family val="2"/>
        <scheme val="minor"/>
      </rPr>
      <t>RS.CO-3</t>
    </r>
    <r>
      <rPr>
        <sz val="12"/>
        <color rgb="FFFF0000"/>
        <rFont val="Calibri"/>
        <family val="2"/>
        <scheme val="minor"/>
      </rPr>
      <t xml:space="preserve"> RS.CO-03</t>
    </r>
  </si>
  <si>
    <r>
      <rPr>
        <strike/>
        <sz val="12"/>
        <color rgb="FFFF0000"/>
        <rFont val="Calibri"/>
        <family val="2"/>
        <scheme val="minor"/>
      </rPr>
      <t>PR.IP-9</t>
    </r>
    <r>
      <rPr>
        <sz val="12"/>
        <color rgb="FFFF0000"/>
        <rFont val="Calibri"/>
        <family val="2"/>
        <scheme val="minor"/>
      </rPr>
      <t xml:space="preserve"> ID.IM-04
</t>
    </r>
    <r>
      <rPr>
        <strike/>
        <sz val="12"/>
        <color rgb="FFFF0000"/>
        <rFont val="Calibri"/>
        <family val="2"/>
        <scheme val="minor"/>
      </rPr>
      <t>RS.CO-2</t>
    </r>
    <r>
      <rPr>
        <sz val="12"/>
        <color rgb="FFFF0000"/>
        <rFont val="Calibri"/>
        <family val="2"/>
        <scheme val="minor"/>
      </rPr>
      <t xml:space="preserve"> RS.CO-02
</t>
    </r>
    <r>
      <rPr>
        <strike/>
        <sz val="12"/>
        <color rgb="FFFF0000"/>
        <rFont val="Calibri"/>
        <family val="2"/>
        <scheme val="minor"/>
      </rPr>
      <t>RS.CO-3</t>
    </r>
    <r>
      <rPr>
        <sz val="12"/>
        <color rgb="FFFF0000"/>
        <rFont val="Calibri"/>
        <family val="2"/>
        <scheme val="minor"/>
      </rPr>
      <t xml:space="preserve"> RS.CO-03
</t>
    </r>
    <r>
      <rPr>
        <strike/>
        <sz val="12"/>
        <color rgb="FFFF0000"/>
        <rFont val="Calibri"/>
        <family val="2"/>
        <scheme val="minor"/>
      </rPr>
      <t>RS.CO-4</t>
    </r>
    <r>
      <rPr>
        <sz val="12"/>
        <color rgb="FFFF0000"/>
        <rFont val="Calibri"/>
        <family val="2"/>
        <scheme val="minor"/>
      </rPr>
      <t xml:space="preserve"> RS.MA-04</t>
    </r>
  </si>
  <si>
    <r>
      <rPr>
        <strike/>
        <sz val="12"/>
        <color rgb="FFFF0000"/>
        <rFont val="Calibri"/>
        <family val="2"/>
        <scheme val="minor"/>
      </rPr>
      <t>RS.CO-1</t>
    </r>
    <r>
      <rPr>
        <sz val="12"/>
        <color rgb="FFFF0000"/>
        <rFont val="Calibri"/>
        <family val="2"/>
        <scheme val="minor"/>
      </rPr>
      <t xml:space="preserve"> PR.AT-01</t>
    </r>
  </si>
  <si>
    <r>
      <rPr>
        <strike/>
        <sz val="12"/>
        <color rgb="FFFF0000"/>
        <rFont val="Calibri"/>
        <family val="2"/>
        <scheme val="minor"/>
      </rPr>
      <t>RS.IM-2</t>
    </r>
    <r>
      <rPr>
        <sz val="12"/>
        <color rgb="FFFF0000"/>
        <rFont val="Calibri"/>
        <family val="2"/>
        <scheme val="minor"/>
      </rPr>
      <t xml:space="preserve"> ID.IM-03</t>
    </r>
  </si>
  <si>
    <r>
      <rPr>
        <strike/>
        <sz val="12"/>
        <color rgb="FFFF0000"/>
        <rFont val="Calibri"/>
        <family val="2"/>
        <scheme val="minor"/>
      </rPr>
      <t>RS.IM-1</t>
    </r>
    <r>
      <rPr>
        <sz val="12"/>
        <color rgb="FFFF0000"/>
        <rFont val="Calibri"/>
        <family val="2"/>
        <scheme val="minor"/>
      </rPr>
      <t xml:space="preserve"> ID.IM-03
</t>
    </r>
    <r>
      <rPr>
        <strike/>
        <sz val="12"/>
        <color rgb="FFFF0000"/>
        <rFont val="Calibri"/>
        <family val="2"/>
        <scheme val="minor"/>
      </rPr>
      <t>RS.IM-2</t>
    </r>
  </si>
  <si>
    <r>
      <rPr>
        <strike/>
        <sz val="12"/>
        <color rgb="FFFF0000"/>
        <rFont val="Calibri"/>
        <family val="2"/>
        <scheme val="minor"/>
      </rPr>
      <t>ID.RA-1</t>
    </r>
    <r>
      <rPr>
        <sz val="12"/>
        <color rgb="FFFF0000"/>
        <rFont val="Calibri"/>
        <family val="2"/>
        <scheme val="minor"/>
      </rPr>
      <t xml:space="preserve"> ID.RA-01
</t>
    </r>
    <r>
      <rPr>
        <strike/>
        <sz val="12"/>
        <color rgb="FFFF0000"/>
        <rFont val="Calibri"/>
        <family val="2"/>
        <scheme val="minor"/>
      </rPr>
      <t>RS.CO-3</t>
    </r>
    <r>
      <rPr>
        <sz val="12"/>
        <color rgb="FFFF0000"/>
        <rFont val="Calibri"/>
        <family val="2"/>
        <scheme val="minor"/>
      </rPr>
      <t xml:space="preserve"> RS.CO-03
</t>
    </r>
    <r>
      <rPr>
        <strike/>
        <sz val="12"/>
        <color rgb="FFFF0000"/>
        <rFont val="Calibri"/>
        <family val="2"/>
        <scheme val="minor"/>
      </rPr>
      <t>RS.CO-5</t>
    </r>
  </si>
  <si>
    <r>
      <rPr>
        <strike/>
        <sz val="12"/>
        <color rgb="FFFF0000"/>
        <rFont val="Calibri"/>
        <family val="2"/>
        <scheme val="minor"/>
      </rPr>
      <t>RS.AN-1</t>
    </r>
    <r>
      <rPr>
        <sz val="12"/>
        <color rgb="FFFF0000"/>
        <rFont val="Calibri"/>
        <family val="2"/>
        <scheme val="minor"/>
      </rPr>
      <t xml:space="preserve"> RS.MA-02
DE.AE-02
</t>
    </r>
    <r>
      <rPr>
        <strike/>
        <sz val="12"/>
        <color rgb="FFFF0000"/>
        <rFont val="Calibri"/>
        <family val="2"/>
        <scheme val="minor"/>
      </rPr>
      <t>DE.AE-3</t>
    </r>
    <r>
      <rPr>
        <sz val="12"/>
        <color rgb="FFFF0000"/>
        <rFont val="Calibri"/>
        <family val="2"/>
        <scheme val="minor"/>
      </rPr>
      <t xml:space="preserve"> DE.AE-03</t>
    </r>
  </si>
  <si>
    <r>
      <rPr>
        <strike/>
        <sz val="12"/>
        <color rgb="FFFF0000"/>
        <rFont val="Calibri"/>
        <family val="2"/>
        <scheme val="minor"/>
      </rPr>
      <t>RS.AN-5</t>
    </r>
    <r>
      <rPr>
        <sz val="12"/>
        <color rgb="FFFF0000"/>
        <rFont val="Calibri"/>
        <family val="2"/>
        <scheme val="minor"/>
      </rPr>
      <t xml:space="preserve"> ID.RA-08
DE.AE-07</t>
    </r>
  </si>
  <si>
    <r>
      <rPr>
        <strike/>
        <sz val="12"/>
        <color rgb="FFFF0000"/>
        <rFont val="Calibri"/>
        <family val="2"/>
        <scheme val="minor"/>
      </rPr>
      <t>PR.IP-10</t>
    </r>
    <r>
      <rPr>
        <sz val="12"/>
        <color rgb="FFFF0000"/>
        <rFont val="Calibri"/>
        <family val="2"/>
        <scheme val="minor"/>
      </rPr>
      <t xml:space="preserve"> ID.IM-04</t>
    </r>
  </si>
  <si>
    <r>
      <rPr>
        <strike/>
        <sz val="12"/>
        <color rgb="FFFF0000"/>
        <rFont val="Calibri"/>
        <family val="2"/>
        <scheme val="minor"/>
      </rPr>
      <t>PR.IP-9</t>
    </r>
    <r>
      <rPr>
        <sz val="12"/>
        <color rgb="FFFF0000"/>
        <rFont val="Calibri"/>
        <family val="2"/>
        <scheme val="minor"/>
      </rPr>
      <t xml:space="preserve"> ID.IM-04
</t>
    </r>
    <r>
      <rPr>
        <strike/>
        <sz val="12"/>
        <color rgb="FFFF0000"/>
        <rFont val="Calibri"/>
        <family val="2"/>
        <scheme val="minor"/>
      </rPr>
      <t>RS.MI-1</t>
    </r>
    <r>
      <rPr>
        <sz val="12"/>
        <color rgb="FFFF0000"/>
        <rFont val="Calibri"/>
        <family val="2"/>
        <scheme val="minor"/>
      </rPr>
      <t xml:space="preserve"> RS.MI-01
</t>
    </r>
    <r>
      <rPr>
        <strike/>
        <sz val="12"/>
        <color rgb="FFFF0000"/>
        <rFont val="Calibri"/>
        <family val="2"/>
        <scheme val="minor"/>
      </rPr>
      <t>RS.MI-2</t>
    </r>
    <r>
      <rPr>
        <sz val="12"/>
        <color rgb="FFFF0000"/>
        <rFont val="Calibri"/>
        <family val="2"/>
        <scheme val="minor"/>
      </rPr>
      <t xml:space="preserve"> RS.MI-02
RS.MA-01
</t>
    </r>
    <r>
      <rPr>
        <strike/>
        <sz val="12"/>
        <color rgb="FFFF0000"/>
        <rFont val="Calibri"/>
        <family val="2"/>
        <scheme val="minor"/>
      </rPr>
      <t>RC.RP-1</t>
    </r>
    <r>
      <rPr>
        <sz val="12"/>
        <color rgb="FFFF0000"/>
        <rFont val="Calibri"/>
        <family val="2"/>
        <scheme val="minor"/>
      </rPr>
      <t xml:space="preserve"> RC.RP-01</t>
    </r>
  </si>
  <si>
    <r>
      <rPr>
        <strike/>
        <sz val="12"/>
        <color rgb="FFFF0000"/>
        <rFont val="Calibri"/>
        <family val="2"/>
        <scheme val="minor"/>
      </rPr>
      <t>ID.GV-1</t>
    </r>
    <r>
      <rPr>
        <sz val="12"/>
        <color rgb="FFFF0000"/>
        <rFont val="Calibri"/>
        <family val="2"/>
        <scheme val="minor"/>
      </rPr>
      <t xml:space="preserve"> GV.PO-01
</t>
    </r>
    <r>
      <rPr>
        <strike/>
        <sz val="12"/>
        <color rgb="FFFF0000"/>
        <rFont val="Calibri"/>
        <family val="2"/>
        <scheme val="minor"/>
      </rPr>
      <t>PR.DS-5</t>
    </r>
    <r>
      <rPr>
        <sz val="12"/>
        <color rgb="FFFF0000"/>
        <rFont val="Calibri"/>
        <family val="2"/>
        <scheme val="minor"/>
      </rPr>
      <t xml:space="preserve"> PR.DS-01</t>
    </r>
  </si>
  <si>
    <r>
      <rPr>
        <strike/>
        <sz val="12"/>
        <color rgb="FFFF0000"/>
        <rFont val="Calibri"/>
        <family val="2"/>
        <scheme val="minor"/>
      </rPr>
      <t>ID.GV-1</t>
    </r>
    <r>
      <rPr>
        <sz val="12"/>
        <color rgb="FFFF0000"/>
        <rFont val="Calibri"/>
        <family val="2"/>
        <scheme val="minor"/>
      </rPr>
      <t xml:space="preserve"> GV.PO-02</t>
    </r>
  </si>
  <si>
    <r>
      <rPr>
        <strike/>
        <sz val="12"/>
        <color rgb="FFFF0000"/>
        <rFont val="Calibri"/>
        <family val="2"/>
        <scheme val="minor"/>
      </rPr>
      <t>ID.GV-1</t>
    </r>
    <r>
      <rPr>
        <sz val="12"/>
        <color rgb="FFFF0000"/>
        <rFont val="Calibri"/>
        <family val="2"/>
        <scheme val="minor"/>
      </rPr>
      <t xml:space="preserve"> GV.PO-01
GV.OC-02</t>
    </r>
  </si>
  <si>
    <r>
      <rPr>
        <strike/>
        <sz val="12"/>
        <color rgb="FFFF0000"/>
        <rFont val="Calibri"/>
        <family val="2"/>
        <scheme val="minor"/>
      </rPr>
      <t>ID.AM-1</t>
    </r>
    <r>
      <rPr>
        <sz val="12"/>
        <color rgb="FFFF0000"/>
        <rFont val="Calibri"/>
        <family val="2"/>
        <scheme val="minor"/>
      </rPr>
      <t xml:space="preserve"> ID.AM-01
</t>
    </r>
    <r>
      <rPr>
        <strike/>
        <sz val="12"/>
        <color rgb="FFFF0000"/>
        <rFont val="Calibri"/>
        <family val="2"/>
        <scheme val="minor"/>
      </rPr>
      <t>ID.AM-2</t>
    </r>
    <r>
      <rPr>
        <sz val="12"/>
        <color rgb="FFFF0000"/>
        <rFont val="Calibri"/>
        <family val="2"/>
        <scheme val="minor"/>
      </rPr>
      <t xml:space="preserve"> ID.AM-02</t>
    </r>
  </si>
  <si>
    <r>
      <rPr>
        <strike/>
        <sz val="12"/>
        <color rgb="FFFF0000"/>
        <rFont val="Calibri"/>
        <family val="2"/>
        <scheme val="minor"/>
      </rPr>
      <t>PR.AT-1</t>
    </r>
    <r>
      <rPr>
        <sz val="12"/>
        <color rgb="FFFF0000"/>
        <rFont val="Calibri"/>
        <family val="2"/>
        <scheme val="minor"/>
      </rPr>
      <t xml:space="preserve"> PR.AT-01</t>
    </r>
    <r>
      <rPr>
        <sz val="12"/>
        <rFont val="Calibri"/>
        <family val="2"/>
        <scheme val="minor"/>
      </rPr>
      <t xml:space="preserve">
</t>
    </r>
    <r>
      <rPr>
        <sz val="12"/>
        <color rgb="FFFF0000"/>
        <rFont val="Calibri"/>
        <family val="2"/>
        <scheme val="minor"/>
      </rPr>
      <t>DE.CM-01
DE.CM-09
PR.IR-01</t>
    </r>
    <r>
      <rPr>
        <sz val="12"/>
        <rFont val="Calibri"/>
        <family val="2"/>
        <scheme val="minor"/>
      </rPr>
      <t xml:space="preserve">
</t>
    </r>
    <r>
      <rPr>
        <sz val="12"/>
        <color rgb="FFFF0000"/>
        <rFont val="Calibri"/>
        <family val="2"/>
        <scheme val="minor"/>
      </rPr>
      <t>ID.AM-08</t>
    </r>
  </si>
  <si>
    <r>
      <rPr>
        <strike/>
        <sz val="12"/>
        <color rgb="FFFF0000"/>
        <rFont val="Calibri"/>
        <family val="2"/>
        <scheme val="minor"/>
      </rPr>
      <t>Supports</t>
    </r>
    <r>
      <rPr>
        <sz val="12"/>
        <rFont val="Calibri"/>
        <family val="2"/>
        <scheme val="minor"/>
      </rPr>
      <t xml:space="preserve">
R1.2.4</t>
    </r>
  </si>
  <si>
    <t>Open Distribution for Supply Chain Materials</t>
  </si>
  <si>
    <t>Copyright © 2025 North American Transmission Forum (“NATF”). All rights reserved. The NATF permits the use of the content contained herein (“Content”) without modification; however, any such use must include this notice and reference the associated NATF document name and version number. The Content is provided on an “as is” basis. The NATF makes no and hereby disclaims all representations or warranties, either express or implied, relating to the Content. No liability is assumed by the NATF for any damages arising directly or indirectly from the Content or use thereof. Use of the Content constitutes agreement to defend, indemnify, and hold the NATF harmless from and against all claims arising from such use.</t>
  </si>
  <si>
    <r>
      <t xml:space="preserve">Energy Sector Supply Chain Risk Questionnaire
</t>
    </r>
    <r>
      <rPr>
        <b/>
        <sz val="16"/>
        <color theme="2" tint="-9.9978637043366805E-2"/>
        <rFont val="Verdana"/>
        <family val="2"/>
      </rPr>
      <t>Open Distribution for Supply Chain Materials</t>
    </r>
    <r>
      <rPr>
        <b/>
        <sz val="16"/>
        <color rgb="FFFF0000"/>
        <rFont val="Verdana"/>
        <family val="2"/>
      </rPr>
      <t xml:space="preserve">
</t>
    </r>
    <r>
      <rPr>
        <b/>
        <sz val="16"/>
        <color theme="0" tint="-0.249977111117893"/>
        <rFont val="Verdana"/>
        <family val="2"/>
      </rPr>
      <t>Copyright © 202</t>
    </r>
    <r>
      <rPr>
        <b/>
        <strike/>
        <sz val="16"/>
        <color rgb="FFFF0000"/>
        <rFont val="Verdana"/>
        <family val="2"/>
      </rPr>
      <t>4</t>
    </r>
    <r>
      <rPr>
        <b/>
        <sz val="16"/>
        <color rgb="FFFF0000"/>
        <rFont val="Verdana"/>
        <family val="2"/>
      </rPr>
      <t>5</t>
    </r>
    <r>
      <rPr>
        <b/>
        <sz val="16"/>
        <color theme="0" tint="-0.249977111117893"/>
        <rFont val="Verdana"/>
        <family val="2"/>
      </rPr>
      <t xml:space="preserve"> North American Transmission Forum, Inc.</t>
    </r>
  </si>
  <si>
    <r>
      <t xml:space="preserve">Energy Sector Supply Chain Risk Questionnaire </t>
    </r>
    <r>
      <rPr>
        <b/>
        <sz val="24"/>
        <color rgb="FFFF0000"/>
        <rFont val="Calibri Light"/>
        <family val="2"/>
        <scheme val="major"/>
      </rPr>
      <t>Final</t>
    </r>
    <r>
      <rPr>
        <b/>
        <sz val="24"/>
        <color theme="4" tint="-0.499984740745262"/>
        <rFont val="Calibri Light"/>
        <family val="2"/>
        <scheme val="major"/>
      </rPr>
      <t xml:space="preserve"> </t>
    </r>
    <r>
      <rPr>
        <b/>
        <sz val="24"/>
        <color rgb="FFFF0000"/>
        <rFont val="Calibri Light"/>
        <family val="2"/>
        <scheme val="major"/>
      </rPr>
      <t>Redline</t>
    </r>
  </si>
  <si>
    <r>
      <t xml:space="preserve">This questionnaire is intended for use by suppliers participating in a third-party security assessment and should be completed by the appropriate supplier's subject matter experts (e.g., cybersecurity, IT).
In order to protect the </t>
    </r>
    <r>
      <rPr>
        <strike/>
        <sz val="12"/>
        <color rgb="FFFF0000"/>
        <rFont val="Verdana"/>
        <family val="2"/>
      </rPr>
      <t>utility</t>
    </r>
    <r>
      <rPr>
        <sz val="12"/>
        <color rgb="FFFF0000"/>
        <rFont val="Verdana"/>
        <family val="2"/>
      </rPr>
      <t>entity</t>
    </r>
    <r>
      <rPr>
        <sz val="12"/>
        <rFont val="Verdana"/>
        <family val="2"/>
      </rPr>
      <t xml:space="preserve"> and its systems, suppliers whose products and/or services will access and/or host </t>
    </r>
    <r>
      <rPr>
        <strike/>
        <sz val="12"/>
        <color rgb="FFFF0000"/>
        <rFont val="Verdana"/>
        <family val="2"/>
      </rPr>
      <t>utility</t>
    </r>
    <r>
      <rPr>
        <sz val="12"/>
        <color rgb="FFFF0000"/>
        <rFont val="Verdana"/>
        <family val="2"/>
      </rPr>
      <t>entity</t>
    </r>
    <r>
      <rPr>
        <sz val="12"/>
        <rFont val="Verdana"/>
        <family val="2"/>
      </rPr>
      <t xml:space="preserve"> data must complete the Energy Sector Supply Chain Risk Questionnaire. The term "data" used throughout the tool is an all-encompassing term including at least data and metadata. Answers will be reviewed by </t>
    </r>
    <r>
      <rPr>
        <strike/>
        <sz val="12"/>
        <color rgb="FFFF0000"/>
        <rFont val="Verdana"/>
        <family val="2"/>
      </rPr>
      <t>utility</t>
    </r>
    <r>
      <rPr>
        <sz val="12"/>
        <color rgb="FFFF0000"/>
        <rFont val="Verdana"/>
        <family val="2"/>
      </rPr>
      <t>entity</t>
    </r>
    <r>
      <rPr>
        <sz val="12"/>
        <rFont val="Verdana"/>
        <family val="2"/>
      </rPr>
      <t xml:space="preserve"> security analysts upon submittal. This process will assist the </t>
    </r>
    <r>
      <rPr>
        <strike/>
        <sz val="12"/>
        <color rgb="FFFF0000"/>
        <rFont val="Verdana"/>
        <family val="2"/>
      </rPr>
      <t>utility</t>
    </r>
    <r>
      <rPr>
        <sz val="12"/>
        <color rgb="FFFF0000"/>
        <rFont val="Verdana"/>
        <family val="2"/>
      </rPr>
      <t>entity</t>
    </r>
    <r>
      <rPr>
        <sz val="12"/>
        <rFont val="Verdana"/>
        <family val="2"/>
      </rPr>
      <t xml:space="preserve"> in preventing breaches of protected information and comply with </t>
    </r>
    <r>
      <rPr>
        <strike/>
        <sz val="12"/>
        <color rgb="FFFF0000"/>
        <rFont val="Verdana"/>
        <family val="2"/>
      </rPr>
      <t>utility</t>
    </r>
    <r>
      <rPr>
        <sz val="12"/>
        <color rgb="FFFF0000"/>
        <rFont val="Verdana"/>
        <family val="2"/>
      </rPr>
      <t>entity</t>
    </r>
    <r>
      <rPr>
        <sz val="12"/>
        <rFont val="Verdana"/>
        <family val="2"/>
      </rPr>
      <t xml:space="preserve"> policy, state, and federal law. Review the Instructions section below for further guidance.
The purpose of this document is to provide an industry-wide supply chain questionnaire for cybersecurity for the energy sector to perform risk assessment. </t>
    </r>
    <r>
      <rPr>
        <strike/>
        <sz val="12"/>
        <color rgb="FFFF0000"/>
        <rFont val="Verdana"/>
        <family val="2"/>
      </rPr>
      <t>Utilities</t>
    </r>
    <r>
      <rPr>
        <sz val="12"/>
        <color rgb="FFFF0000"/>
        <rFont val="Verdana"/>
        <family val="2"/>
      </rPr>
      <t>Entities</t>
    </r>
    <r>
      <rPr>
        <sz val="12"/>
        <rFont val="Verdana"/>
        <family val="2"/>
      </rPr>
      <t xml:space="preserve"> may select questions pertaining to their specific business use as appropriate. However, it is recommended that the questionnaire be used in its entirety to reduce supply chain cybersecurity risk. All questions should remain in original format to promote consistency and efficiency within the industry. </t>
    </r>
    <r>
      <rPr>
        <sz val="12"/>
        <color rgb="FFFF0000"/>
        <rFont val="Verdana"/>
        <family val="2"/>
      </rPr>
      <t>Other CIP Reliability standards not listed in the included mappings may also relate to the topics and practices mentioned in this document.</t>
    </r>
    <r>
      <rPr>
        <sz val="12"/>
        <rFont val="Verdana"/>
        <family val="2"/>
      </rPr>
      <t xml:space="preserve"> 
The scoring option provides </t>
    </r>
    <r>
      <rPr>
        <strike/>
        <sz val="12"/>
        <color rgb="FFFF0000"/>
        <rFont val="Verdana"/>
        <family val="2"/>
      </rPr>
      <t>utilities</t>
    </r>
    <r>
      <rPr>
        <sz val="12"/>
        <color rgb="FFFF0000"/>
        <rFont val="Verdana"/>
        <family val="2"/>
      </rPr>
      <t>entities</t>
    </r>
    <r>
      <rPr>
        <sz val="12"/>
        <rFont val="Verdana"/>
        <family val="2"/>
      </rPr>
      <t xml:space="preserve"> with a method to quickly and consistently evaluate responses from one or more suppliers. It uses a simple multiplication of Answer and Weight values ranging from 1 - 5 (5 being best) in a typical Likert scale to derive a per-question score. During evaluation of the completed questionnaire by the </t>
    </r>
    <r>
      <rPr>
        <strike/>
        <sz val="12"/>
        <color rgb="FFFF0000"/>
        <rFont val="Verdana"/>
        <family val="2"/>
      </rPr>
      <t>utility</t>
    </r>
    <r>
      <rPr>
        <sz val="12"/>
        <color rgb="FFFF0000"/>
        <rFont val="Verdana"/>
        <family val="2"/>
      </rPr>
      <t>entity</t>
    </r>
    <r>
      <rPr>
        <sz val="12"/>
        <rFont val="Verdana"/>
        <family val="2"/>
      </rPr>
      <t xml:space="preserve">, the Weight value may be customized to reflect unique needs or priorities, while the Answer value should reflect how satisfactory the </t>
    </r>
    <r>
      <rPr>
        <strike/>
        <sz val="12"/>
        <color rgb="FFFF0000"/>
        <rFont val="Verdana"/>
        <family val="2"/>
      </rPr>
      <t>utility</t>
    </r>
    <r>
      <rPr>
        <sz val="12"/>
        <color rgb="FFFF0000"/>
        <rFont val="Verdana"/>
        <family val="2"/>
      </rPr>
      <t>entity</t>
    </r>
    <r>
      <rPr>
        <sz val="12"/>
        <rFont val="Verdana"/>
        <family val="2"/>
      </rPr>
      <t xml:space="preserve"> considers a given response. However, this option should not be relied upon as the singular determinant for procurement, risk, or other decisions, and should be used in conjunction with all existing processes that address those areas. 
For additional information, see the NATF Supply Chain Security Assessment Model. For details regarding annual revisions and timelines, see </t>
    </r>
    <r>
      <rPr>
        <strike/>
        <sz val="12"/>
        <color rgb="FFFF0000"/>
        <rFont val="Verdana"/>
        <family val="2"/>
      </rPr>
      <t>and</t>
    </r>
    <r>
      <rPr>
        <sz val="12"/>
        <rFont val="Verdana"/>
        <family val="2"/>
      </rPr>
      <t xml:space="preserve"> the Revision Process for the Energy Sector Supply Chain Risk Questionnaire and NATF Supply Chain Security Criteria at www.natf.net/industry-initiatives/supply-chain-industry-coordination. </t>
    </r>
  </si>
  <si>
    <r>
      <t xml:space="preserve">Identify Types of Information Provided by </t>
    </r>
    <r>
      <rPr>
        <strike/>
        <sz val="12"/>
        <color rgb="FFFF0000"/>
        <rFont val="Verdana"/>
        <family val="2"/>
      </rPr>
      <t>Utility</t>
    </r>
    <r>
      <rPr>
        <sz val="12"/>
        <color rgb="FFFF0000"/>
        <rFont val="Verdana"/>
        <family val="2"/>
      </rPr>
      <t>Entity</t>
    </r>
    <r>
      <rPr>
        <sz val="12"/>
        <color theme="0"/>
        <rFont val="Verdana"/>
        <family val="2"/>
      </rPr>
      <t>; populated by the Supplier</t>
    </r>
  </si>
  <si>
    <r>
      <t xml:space="preserve">Select all that apply from the following list that is being provided by the </t>
    </r>
    <r>
      <rPr>
        <b/>
        <strike/>
        <sz val="11"/>
        <color rgb="FFFF0000"/>
        <rFont val="Verdana"/>
        <family val="2"/>
      </rPr>
      <t>Utility</t>
    </r>
    <r>
      <rPr>
        <b/>
        <sz val="11"/>
        <color rgb="FFFF0000"/>
        <rFont val="Verdana"/>
        <family val="2"/>
      </rPr>
      <t>Entity</t>
    </r>
    <r>
      <rPr>
        <b/>
        <sz val="11"/>
        <color indexed="8"/>
        <rFont val="Verdana"/>
        <family val="2"/>
      </rPr>
      <t>:</t>
    </r>
  </si>
  <si>
    <r>
      <t xml:space="preserve">Do you have dedicated information security staff assigned to the product or service to be provided to the </t>
    </r>
    <r>
      <rPr>
        <strike/>
        <sz val="11"/>
        <color rgb="FFFF0000"/>
        <rFont val="Verdana"/>
        <family val="2"/>
      </rPr>
      <t>utility</t>
    </r>
    <r>
      <rPr>
        <sz val="11"/>
        <color rgb="FFFF0000"/>
        <rFont val="Verdana"/>
        <family val="2"/>
      </rPr>
      <t>entity</t>
    </r>
    <r>
      <rPr>
        <sz val="11"/>
        <rFont val="Verdana"/>
        <family val="2"/>
      </rPr>
      <t>?</t>
    </r>
  </si>
  <si>
    <r>
      <t xml:space="preserve">Do you have a process in place to notify </t>
    </r>
    <r>
      <rPr>
        <strike/>
        <sz val="11"/>
        <color rgb="FFFF0000"/>
        <rFont val="Verdana"/>
        <family val="2"/>
      </rPr>
      <t>utility</t>
    </r>
    <r>
      <rPr>
        <sz val="11"/>
        <color rgb="FFFF0000"/>
        <rFont val="Verdana"/>
        <family val="2"/>
      </rPr>
      <t>entity</t>
    </r>
    <r>
      <rPr>
        <sz val="11"/>
        <rFont val="Verdana"/>
        <family val="2"/>
      </rPr>
      <t xml:space="preserve"> customers of any mergers and acquisitions as soon as legally permissible?</t>
    </r>
  </si>
  <si>
    <r>
      <t xml:space="preserve">Do you have a documented </t>
    </r>
    <r>
      <rPr>
        <strike/>
        <sz val="11"/>
        <color rgb="FFFF0000"/>
        <rFont val="Verdana"/>
        <family val="2"/>
      </rPr>
      <t>systems</t>
    </r>
    <r>
      <rPr>
        <sz val="11"/>
        <color rgb="FFFF0000"/>
        <rFont val="Verdana"/>
        <family val="2"/>
      </rPr>
      <t>software</t>
    </r>
    <r>
      <rPr>
        <sz val="11"/>
        <color theme="1"/>
        <rFont val="Verdana"/>
        <family val="2"/>
      </rPr>
      <t xml:space="preserve"> development life cycle (SDLC)</t>
    </r>
    <r>
      <rPr>
        <sz val="11"/>
        <color rgb="FFFF0000"/>
        <rFont val="Verdana"/>
        <family val="2"/>
      </rPr>
      <t xml:space="preserve"> or software development self-attestation, certification, and/or assessment?</t>
    </r>
  </si>
  <si>
    <r>
      <t xml:space="preserve">Do you have a process by which you identify and document vulnerabilities in third-party product(s) used by you in the production or delivery of your product(s) to your customers, including the </t>
    </r>
    <r>
      <rPr>
        <strike/>
        <sz val="11"/>
        <color rgb="FFFF0000"/>
        <rFont val="Verdana"/>
        <family val="2"/>
      </rPr>
      <t>utility</t>
    </r>
    <r>
      <rPr>
        <sz val="11"/>
        <color rgb="FFFF0000"/>
        <rFont val="Verdana"/>
        <family val="2"/>
      </rPr>
      <t>entity</t>
    </r>
    <r>
      <rPr>
        <sz val="11"/>
        <rFont val="Verdana"/>
        <family val="2"/>
      </rPr>
      <t xml:space="preserve">? Do you notify the </t>
    </r>
    <r>
      <rPr>
        <strike/>
        <sz val="11"/>
        <color rgb="FFFF0000"/>
        <rFont val="Verdana"/>
        <family val="2"/>
      </rPr>
      <t>utility</t>
    </r>
    <r>
      <rPr>
        <sz val="11"/>
        <color rgb="FFFF0000"/>
        <rFont val="Verdana"/>
        <family val="2"/>
      </rPr>
      <t>entity</t>
    </r>
    <r>
      <rPr>
        <sz val="11"/>
        <rFont val="Verdana"/>
        <family val="2"/>
      </rPr>
      <t xml:space="preserve"> and your other customers of these vulnerabilities throughout the lifecycle of the product(s) or service(s) provided by you?</t>
    </r>
  </si>
  <si>
    <r>
      <t xml:space="preserve">Provide a brief description for each of these third-party entities explaining the types of </t>
    </r>
    <r>
      <rPr>
        <strike/>
        <sz val="11"/>
        <color rgb="FFFF0000"/>
        <rFont val="Verdana"/>
        <family val="2"/>
      </rPr>
      <t>utility</t>
    </r>
    <r>
      <rPr>
        <sz val="11"/>
        <color rgb="FFFF0000"/>
        <rFont val="Verdana"/>
        <family val="2"/>
      </rPr>
      <t>entity</t>
    </r>
    <r>
      <rPr>
        <sz val="11"/>
        <color theme="1"/>
        <rFont val="Verdana"/>
        <family val="2"/>
      </rPr>
      <t xml:space="preserve"> data they have access to and why each of these third parties REQUIRES access to </t>
    </r>
    <r>
      <rPr>
        <strike/>
        <sz val="11"/>
        <color rgb="FFFF0000"/>
        <rFont val="Verdana"/>
        <family val="2"/>
      </rPr>
      <t>utility</t>
    </r>
    <r>
      <rPr>
        <sz val="11"/>
        <color rgb="FFFF0000"/>
        <rFont val="Verdana"/>
        <family val="2"/>
      </rPr>
      <t>entity</t>
    </r>
    <r>
      <rPr>
        <sz val="11"/>
        <color theme="1"/>
        <rFont val="Verdana"/>
        <family val="2"/>
      </rPr>
      <t xml:space="preserve"> data.</t>
    </r>
  </si>
  <si>
    <r>
      <t xml:space="preserve">Does your personnel vetting process allow you to share background check criteria and/or the process itself with </t>
    </r>
    <r>
      <rPr>
        <strike/>
        <sz val="11"/>
        <color rgb="FFFF0000"/>
        <rFont val="Verdana"/>
        <family val="2"/>
      </rPr>
      <t>utility</t>
    </r>
    <r>
      <rPr>
        <sz val="11"/>
        <color rgb="FFFF0000"/>
        <rFont val="Verdana"/>
        <family val="2"/>
      </rPr>
      <t>entity</t>
    </r>
    <r>
      <rPr>
        <sz val="11"/>
        <rFont val="Verdana"/>
        <family val="2"/>
      </rPr>
      <t xml:space="preserve"> for confirmation of process or verification of sampled employees?</t>
    </r>
  </si>
  <si>
    <r>
      <t>Please describe your staff offboarding procedures, including the following:
· timeframe for termination of system and physical access</t>
    </r>
    <r>
      <rPr>
        <strike/>
        <sz val="11"/>
        <rFont val="Verdana"/>
        <family val="2"/>
      </rPr>
      <t xml:space="preserve">
</t>
    </r>
    <r>
      <rPr>
        <sz val="11"/>
        <rFont val="Verdana"/>
        <family val="2"/>
      </rPr>
      <t>· timeframe for notifying customers of termination of personnel</t>
    </r>
    <r>
      <rPr>
        <strike/>
        <sz val="11"/>
        <rFont val="Verdana"/>
        <family val="2"/>
      </rPr>
      <t xml:space="preserve">
</t>
    </r>
    <r>
      <rPr>
        <sz val="11"/>
        <rFont val="Verdana"/>
        <family val="2"/>
      </rPr>
      <t xml:space="preserve">· cases in which personnel will no longer need physical or logical access to the </t>
    </r>
    <r>
      <rPr>
        <strike/>
        <sz val="11"/>
        <color rgb="FFFF0000"/>
        <rFont val="Verdana"/>
        <family val="2"/>
      </rPr>
      <t>utility</t>
    </r>
    <r>
      <rPr>
        <sz val="11"/>
        <color rgb="FFFF0000"/>
        <rFont val="Verdana"/>
        <family val="2"/>
      </rPr>
      <t>entity</t>
    </r>
    <r>
      <rPr>
        <sz val="11"/>
        <rFont val="Verdana"/>
        <family val="2"/>
      </rPr>
      <t>'s sites or systems.</t>
    </r>
  </si>
  <si>
    <r>
      <t xml:space="preserve">For access within supplier's system functioning as a BCSI repository for </t>
    </r>
    <r>
      <rPr>
        <strike/>
        <sz val="11"/>
        <color rgb="FFFF0000"/>
        <rFont val="Verdana"/>
        <family val="2"/>
      </rPr>
      <t>utility</t>
    </r>
    <r>
      <rPr>
        <sz val="11"/>
        <color rgb="FFFF0000"/>
        <rFont val="Verdana"/>
        <family val="2"/>
      </rPr>
      <t>entity</t>
    </r>
    <r>
      <rPr>
        <sz val="11"/>
        <rFont val="Verdana"/>
        <family val="2"/>
      </rPr>
      <t xml:space="preserve"> data, has supplier implemented procedures to revoke access within 24 hours when any individual no longer requires access due to change in employment status or job duties?</t>
    </r>
  </si>
  <si>
    <r>
      <t xml:space="preserve">Which groups of staff (individual contractors and full-time) have access to </t>
    </r>
    <r>
      <rPr>
        <strike/>
        <sz val="11"/>
        <color rgb="FFFF0000"/>
        <rFont val="Verdana"/>
        <family val="2"/>
      </rPr>
      <t>utility</t>
    </r>
    <r>
      <rPr>
        <sz val="11"/>
        <color rgb="FFFF0000"/>
        <rFont val="Verdana"/>
        <family val="2"/>
      </rPr>
      <t>entity</t>
    </r>
    <r>
      <rPr>
        <sz val="11"/>
        <rFont val="Verdana"/>
        <family val="2"/>
      </rPr>
      <t xml:space="preserve"> data? How many staff would have logical access to our data? What is your policy on providing notification if/when rotating staff will handle </t>
    </r>
    <r>
      <rPr>
        <strike/>
        <sz val="11"/>
        <color rgb="FFFF0000"/>
        <rFont val="Verdana"/>
        <family val="2"/>
      </rPr>
      <t>utility</t>
    </r>
    <r>
      <rPr>
        <sz val="11"/>
        <color rgb="FFFF0000"/>
        <rFont val="Verdana"/>
        <family val="2"/>
      </rPr>
      <t>entity</t>
    </r>
    <r>
      <rPr>
        <sz val="11"/>
        <rFont val="Verdana"/>
        <family val="2"/>
      </rPr>
      <t xml:space="preserve"> data/projects?</t>
    </r>
  </si>
  <si>
    <r>
      <t xml:space="preserve">Do you maintain an access list of all individuals with access to </t>
    </r>
    <r>
      <rPr>
        <strike/>
        <sz val="11"/>
        <color rgb="FFFF0000"/>
        <rFont val="Verdana"/>
        <family val="2"/>
      </rPr>
      <t>utility</t>
    </r>
    <r>
      <rPr>
        <sz val="11"/>
        <color rgb="FFFF0000"/>
        <rFont val="Verdana"/>
        <family val="2"/>
      </rPr>
      <t>entity</t>
    </r>
    <r>
      <rPr>
        <sz val="11"/>
        <rFont val="Verdana"/>
        <family val="2"/>
      </rPr>
      <t>'s assets, information and facilities?</t>
    </r>
  </si>
  <si>
    <r>
      <t xml:space="preserve">Do you conduct an annual review of all individuals' access to the </t>
    </r>
    <r>
      <rPr>
        <strike/>
        <sz val="11"/>
        <color rgb="FFFF0000"/>
        <rFont val="Verdana"/>
        <family val="2"/>
      </rPr>
      <t>utility</t>
    </r>
    <r>
      <rPr>
        <sz val="11"/>
        <color rgb="FFFF0000"/>
        <rFont val="Verdana"/>
        <family val="2"/>
      </rPr>
      <t>entity's</t>
    </r>
    <r>
      <rPr>
        <sz val="11"/>
        <rFont val="Verdana"/>
        <family val="2"/>
      </rPr>
      <t xml:space="preserve"> assets, systems, networks, information, and facilities for which you provision and deprovision access?</t>
    </r>
  </si>
  <si>
    <r>
      <t xml:space="preserve">If remote access is needed into the </t>
    </r>
    <r>
      <rPr>
        <strike/>
        <sz val="11"/>
        <color rgb="FFFF0000"/>
        <rFont val="Verdana"/>
        <family val="2"/>
      </rPr>
      <t>utility</t>
    </r>
    <r>
      <rPr>
        <sz val="11"/>
        <color rgb="FFFF0000"/>
        <rFont val="Verdana"/>
        <family val="2"/>
      </rPr>
      <t>entity</t>
    </r>
    <r>
      <rPr>
        <sz val="11"/>
        <rFont val="Verdana"/>
        <family val="2"/>
      </rPr>
      <t>'s systems, do you have an implemented process to obtain authorization from entity prior to initializing each remote access session?</t>
    </r>
  </si>
  <si>
    <r>
      <t xml:space="preserve">If remote access is needed, do you have the ability to gain remote access without </t>
    </r>
    <r>
      <rPr>
        <strike/>
        <sz val="11"/>
        <color rgb="FFFF0000"/>
        <rFont val="Verdana"/>
        <family val="2"/>
      </rPr>
      <t>utility</t>
    </r>
    <r>
      <rPr>
        <sz val="11"/>
        <color rgb="FFFF0000"/>
        <rFont val="Verdana"/>
        <family val="2"/>
      </rPr>
      <t>entity</t>
    </r>
    <r>
      <rPr>
        <sz val="11"/>
        <rFont val="Verdana"/>
        <family val="2"/>
      </rPr>
      <t xml:space="preserve"> authorization (technical control, i.e., no "back door")?</t>
    </r>
  </si>
  <si>
    <r>
      <t xml:space="preserve">If remote access is needed from supplier to </t>
    </r>
    <r>
      <rPr>
        <strike/>
        <sz val="11"/>
        <color rgb="FFFF0000"/>
        <rFont val="Verdana"/>
        <family val="2"/>
      </rPr>
      <t>utility</t>
    </r>
    <r>
      <rPr>
        <sz val="11"/>
        <color rgb="FFFF0000"/>
        <rFont val="Verdana"/>
        <family val="2"/>
      </rPr>
      <t>entity</t>
    </r>
    <r>
      <rPr>
        <sz val="11"/>
        <rFont val="Verdana"/>
        <family val="2"/>
      </rPr>
      <t>, does your remote access terminate automatically upon a pre-determined period with no activity or a pre-determined session time limit?</t>
    </r>
  </si>
  <si>
    <r>
      <t xml:space="preserve">Do you have a business continuity plan (BCP) to support ongoing operations of your systems and scope of equipment and/or services provided to the </t>
    </r>
    <r>
      <rPr>
        <strike/>
        <sz val="11"/>
        <color rgb="FFFF0000"/>
        <rFont val="Verdana"/>
        <family val="2"/>
      </rPr>
      <t>utility</t>
    </r>
    <r>
      <rPr>
        <sz val="11"/>
        <color rgb="FFFF0000"/>
        <rFont val="Verdana"/>
        <family val="2"/>
      </rPr>
      <t>entity</t>
    </r>
    <r>
      <rPr>
        <sz val="11"/>
        <rFont val="Verdana"/>
        <family val="2"/>
      </rPr>
      <t>?</t>
    </r>
  </si>
  <si>
    <r>
      <t xml:space="preserve">Do you have an overarching information security policy or procedure that can be shared with </t>
    </r>
    <r>
      <rPr>
        <strike/>
        <sz val="11"/>
        <color rgb="FFFF0000"/>
        <rFont val="Verdana"/>
        <family val="2"/>
      </rPr>
      <t>utility</t>
    </r>
    <r>
      <rPr>
        <sz val="11"/>
        <color rgb="FFFF0000"/>
        <rFont val="Verdana"/>
        <family val="2"/>
      </rPr>
      <t>entity</t>
    </r>
    <r>
      <rPr>
        <sz val="11"/>
        <rFont val="Verdana"/>
        <family val="2"/>
      </rPr>
      <t xml:space="preserve"> clients?</t>
    </r>
  </si>
  <si>
    <r>
      <t xml:space="preserve">Are ownership rights to all data, inputs, outputs, and metadata retained by the </t>
    </r>
    <r>
      <rPr>
        <strike/>
        <sz val="11"/>
        <color rgb="FFFF0000"/>
        <rFont val="Verdana"/>
        <family val="2"/>
      </rPr>
      <t>utility</t>
    </r>
    <r>
      <rPr>
        <sz val="11"/>
        <color rgb="FFFF0000"/>
        <rFont val="Verdana"/>
        <family val="2"/>
      </rPr>
      <t>entity</t>
    </r>
    <r>
      <rPr>
        <sz val="11"/>
        <rFont val="Verdana"/>
        <family val="2"/>
      </rPr>
      <t>?</t>
    </r>
  </si>
  <si>
    <r>
      <t xml:space="preserve">Are processes in place to handle </t>
    </r>
    <r>
      <rPr>
        <strike/>
        <sz val="11"/>
        <color rgb="FFFF0000"/>
        <rFont val="Verdana"/>
        <family val="2"/>
      </rPr>
      <t>utility</t>
    </r>
    <r>
      <rPr>
        <sz val="11"/>
        <color rgb="FFFF0000"/>
        <rFont val="Verdana"/>
        <family val="2"/>
      </rPr>
      <t>entity</t>
    </r>
    <r>
      <rPr>
        <sz val="11"/>
        <rFont val="Verdana"/>
        <family val="2"/>
      </rPr>
      <t xml:space="preserve"> data in both a CUI and a CEII compliant manner?</t>
    </r>
  </si>
  <si>
    <r>
      <t xml:space="preserve">Will the </t>
    </r>
    <r>
      <rPr>
        <strike/>
        <sz val="11"/>
        <color rgb="FFFF0000"/>
        <rFont val="Verdana"/>
        <family val="2"/>
      </rPr>
      <t>utility</t>
    </r>
    <r>
      <rPr>
        <sz val="11"/>
        <color rgb="FFFF0000"/>
        <rFont val="Verdana"/>
        <family val="2"/>
      </rPr>
      <t>entity</t>
    </r>
    <r>
      <rPr>
        <sz val="11"/>
        <rFont val="Verdana"/>
        <family val="2"/>
      </rPr>
      <t xml:space="preserve"> be notified of major changes to the computing system environment that could impact the </t>
    </r>
    <r>
      <rPr>
        <strike/>
        <sz val="11"/>
        <color rgb="FFFF0000"/>
        <rFont val="Verdana"/>
        <family val="2"/>
      </rPr>
      <t>utility</t>
    </r>
    <r>
      <rPr>
        <sz val="11"/>
        <color rgb="FFFF0000"/>
        <rFont val="Verdana"/>
        <family val="2"/>
      </rPr>
      <t>entity</t>
    </r>
    <r>
      <rPr>
        <sz val="11"/>
        <rFont val="Verdana"/>
        <family val="2"/>
      </rPr>
      <t>'s security posture?</t>
    </r>
  </si>
  <si>
    <r>
      <t xml:space="preserve">Does your company own the physical data center where the </t>
    </r>
    <r>
      <rPr>
        <strike/>
        <sz val="11"/>
        <color rgb="FFFF0000"/>
        <rFont val="Verdana"/>
        <family val="2"/>
      </rPr>
      <t>utility</t>
    </r>
    <r>
      <rPr>
        <sz val="11"/>
        <color rgb="FFFF0000"/>
        <rFont val="Verdana"/>
        <family val="2"/>
      </rPr>
      <t>entity</t>
    </r>
    <r>
      <rPr>
        <sz val="11"/>
        <rFont val="Verdana"/>
        <family val="2"/>
      </rPr>
      <t>'s data will reside?</t>
    </r>
  </si>
  <si>
    <r>
      <t xml:space="preserve">Do you have cooling and fire suppression systems in all datacenters where </t>
    </r>
    <r>
      <rPr>
        <strike/>
        <sz val="11"/>
        <color rgb="FFFF0000"/>
        <rFont val="Verdana"/>
        <family val="2"/>
      </rPr>
      <t>utility</t>
    </r>
    <r>
      <rPr>
        <sz val="11"/>
        <color rgb="FFFF0000"/>
        <rFont val="Verdana"/>
        <family val="2"/>
      </rPr>
      <t>entity</t>
    </r>
    <r>
      <rPr>
        <sz val="11"/>
        <rFont val="Verdana"/>
        <family val="2"/>
      </rPr>
      <t xml:space="preserve"> data will reside?</t>
    </r>
  </si>
  <si>
    <r>
      <t xml:space="preserve">Is redundant power available and tested for all datacenters where </t>
    </r>
    <r>
      <rPr>
        <strike/>
        <sz val="11"/>
        <color rgb="FFFF0000"/>
        <rFont val="Verdana"/>
        <family val="2"/>
      </rPr>
      <t>utility</t>
    </r>
    <r>
      <rPr>
        <sz val="11"/>
        <color rgb="FFFF0000"/>
        <rFont val="Verdana"/>
        <family val="2"/>
      </rPr>
      <t>entity</t>
    </r>
    <r>
      <rPr>
        <sz val="11"/>
        <rFont val="Verdana"/>
        <family val="2"/>
      </rPr>
      <t xml:space="preserve"> data will reside? </t>
    </r>
  </si>
  <si>
    <r>
      <t xml:space="preserve">State how many internet service providers (ISPs) provide connectivity to each datacenter where the </t>
    </r>
    <r>
      <rPr>
        <strike/>
        <sz val="11"/>
        <color rgb="FFFF0000"/>
        <rFont val="Verdana"/>
        <family val="2"/>
      </rPr>
      <t>utility</t>
    </r>
    <r>
      <rPr>
        <sz val="11"/>
        <color rgb="FFFF0000"/>
        <rFont val="Verdana"/>
        <family val="2"/>
      </rPr>
      <t>entity</t>
    </r>
    <r>
      <rPr>
        <sz val="11"/>
        <rFont val="Verdana"/>
        <family val="2"/>
      </rPr>
      <t xml:space="preserve">'s data will reside. </t>
    </r>
  </si>
  <si>
    <r>
      <t>Does every datacenter where the</t>
    </r>
    <r>
      <rPr>
        <sz val="11"/>
        <color rgb="FFFF0000"/>
        <rFont val="Verdana"/>
        <family val="2"/>
      </rPr>
      <t xml:space="preserve"> </t>
    </r>
    <r>
      <rPr>
        <strike/>
        <sz val="11"/>
        <color rgb="FFFF0000"/>
        <rFont val="Verdana"/>
        <family val="2"/>
      </rPr>
      <t>utility</t>
    </r>
    <r>
      <rPr>
        <sz val="11"/>
        <color rgb="FFFF0000"/>
        <rFont val="Verdana"/>
        <family val="2"/>
      </rPr>
      <t>entity</t>
    </r>
    <r>
      <rPr>
        <sz val="11"/>
        <rFont val="Verdana"/>
        <family val="2"/>
      </rPr>
      <t>'s data will reside have multiple telephone company or network provider entrances to the facility?</t>
    </r>
  </si>
  <si>
    <r>
      <t xml:space="preserve">Will sensitive </t>
    </r>
    <r>
      <rPr>
        <strike/>
        <sz val="11"/>
        <color rgb="FFFF0000"/>
        <rFont val="Verdana"/>
        <family val="2"/>
      </rPr>
      <t>utility</t>
    </r>
    <r>
      <rPr>
        <sz val="11"/>
        <color rgb="FFFF0000"/>
        <rFont val="Verdana"/>
        <family val="2"/>
      </rPr>
      <t>entity</t>
    </r>
    <r>
      <rPr>
        <sz val="11"/>
        <rFont val="Verdana"/>
        <family val="2"/>
      </rPr>
      <t xml:space="preserve"> data be encrypted in storage? Please specify if through full disk encryption, data encryption, etc.</t>
    </r>
  </si>
  <si>
    <r>
      <t xml:space="preserve">Will </t>
    </r>
    <r>
      <rPr>
        <strike/>
        <sz val="11"/>
        <color rgb="FFFF0000"/>
        <rFont val="Verdana"/>
        <family val="2"/>
      </rPr>
      <t>utility</t>
    </r>
    <r>
      <rPr>
        <sz val="11"/>
        <color rgb="FFFF0000"/>
        <rFont val="Verdana"/>
        <family val="2"/>
      </rPr>
      <t>entity</t>
    </r>
    <r>
      <rPr>
        <sz val="11"/>
        <rFont val="Verdana"/>
        <family val="2"/>
      </rPr>
      <t>'s data be stored on any devices (database servers, file servers, SAN, NAS, etc.) configured with non-RFC 1918/4193 (i.e., publicly routable) IP addresses?</t>
    </r>
  </si>
  <si>
    <r>
      <t xml:space="preserve">Is </t>
    </r>
    <r>
      <rPr>
        <strike/>
        <sz val="11"/>
        <color rgb="FFFF0000"/>
        <rFont val="Verdana"/>
        <family val="2"/>
      </rPr>
      <t>utility</t>
    </r>
    <r>
      <rPr>
        <sz val="11"/>
        <color rgb="FFFF0000"/>
        <rFont val="Verdana"/>
        <family val="2"/>
      </rPr>
      <t>entity</t>
    </r>
    <r>
      <rPr>
        <sz val="11"/>
        <rFont val="Verdana"/>
        <family val="2"/>
      </rPr>
      <t xml:space="preserve"> unstructured data (e.g., file shares) encrypted?</t>
    </r>
  </si>
  <si>
    <r>
      <t xml:space="preserve">List all locations (countries) where the </t>
    </r>
    <r>
      <rPr>
        <strike/>
        <sz val="11"/>
        <color rgb="FFFF0000"/>
        <rFont val="Verdana"/>
        <family val="2"/>
      </rPr>
      <t>utility</t>
    </r>
    <r>
      <rPr>
        <sz val="11"/>
        <color rgb="FFFF0000"/>
        <rFont val="Verdana"/>
        <family val="2"/>
      </rPr>
      <t>entity</t>
    </r>
    <r>
      <rPr>
        <sz val="11"/>
        <rFont val="Verdana"/>
        <family val="2"/>
      </rPr>
      <t>'s data will be stored.</t>
    </r>
  </si>
  <si>
    <r>
      <t>Will any</t>
    </r>
    <r>
      <rPr>
        <sz val="11"/>
        <color rgb="FFFF0000"/>
        <rFont val="Verdana"/>
        <family val="2"/>
      </rPr>
      <t xml:space="preserve"> </t>
    </r>
    <r>
      <rPr>
        <strike/>
        <sz val="11"/>
        <color rgb="FFFF0000"/>
        <rFont val="Verdana"/>
        <family val="2"/>
      </rPr>
      <t>utility</t>
    </r>
    <r>
      <rPr>
        <sz val="11"/>
        <color rgb="FFFF0000"/>
        <rFont val="Verdana"/>
        <family val="2"/>
      </rPr>
      <t>entity</t>
    </r>
    <r>
      <rPr>
        <sz val="11"/>
        <rFont val="Verdana"/>
        <family val="2"/>
      </rPr>
      <t xml:space="preserve"> data be stored in the cloud?</t>
    </r>
  </si>
  <si>
    <r>
      <t>Do you have a process to notify purchasers of any supplier-identified cyber or physical security incidents related to your products or services that could pose risk to the</t>
    </r>
    <r>
      <rPr>
        <sz val="11"/>
        <color rgb="FFFF0000"/>
        <rFont val="Verdana"/>
        <family val="2"/>
      </rPr>
      <t xml:space="preserve"> </t>
    </r>
    <r>
      <rPr>
        <strike/>
        <sz val="11"/>
        <color rgb="FFFF0000"/>
        <rFont val="Verdana"/>
        <family val="2"/>
      </rPr>
      <t>utility</t>
    </r>
    <r>
      <rPr>
        <sz val="11"/>
        <color rgb="FFFF0000"/>
        <rFont val="Verdana"/>
        <family val="2"/>
      </rPr>
      <t>entity</t>
    </r>
    <r>
      <rPr>
        <sz val="11"/>
        <rFont val="Verdana"/>
        <family val="2"/>
      </rPr>
      <t>?</t>
    </r>
  </si>
  <si>
    <r>
      <t xml:space="preserve">Is a mobile application(s) part of the solution being provided to the </t>
    </r>
    <r>
      <rPr>
        <strike/>
        <sz val="11"/>
        <color rgb="FFFF0000"/>
        <rFont val="Verdana"/>
        <family val="2"/>
      </rPr>
      <t>utility</t>
    </r>
    <r>
      <rPr>
        <sz val="11"/>
        <color rgb="FFFF0000"/>
        <rFont val="Verdana"/>
        <family val="2"/>
      </rPr>
      <t>entity</t>
    </r>
    <r>
      <rPr>
        <sz val="11"/>
        <color theme="1"/>
        <rFont val="Verdana"/>
        <family val="2"/>
      </rPr>
      <t>?</t>
    </r>
  </si>
  <si>
    <r>
      <t xml:space="preserve">Is </t>
    </r>
    <r>
      <rPr>
        <strike/>
        <sz val="11"/>
        <color rgb="FFFF0000"/>
        <rFont val="Verdana"/>
        <family val="2"/>
      </rPr>
      <t>utility</t>
    </r>
    <r>
      <rPr>
        <sz val="11"/>
        <color rgb="FFFF0000"/>
        <rFont val="Verdana"/>
        <family val="2"/>
      </rPr>
      <t>entity</t>
    </r>
    <r>
      <rPr>
        <sz val="11"/>
        <color theme="1"/>
        <rFont val="Verdana"/>
        <family val="2"/>
      </rPr>
      <t>'s data encrypted in transport?</t>
    </r>
  </si>
  <si>
    <r>
      <t xml:space="preserve">Is </t>
    </r>
    <r>
      <rPr>
        <strike/>
        <sz val="11"/>
        <color rgb="FFFF0000"/>
        <rFont val="Verdana"/>
        <family val="2"/>
      </rPr>
      <t>utility</t>
    </r>
    <r>
      <rPr>
        <sz val="11"/>
        <color rgb="FFFF0000"/>
        <rFont val="Verdana"/>
        <family val="2"/>
      </rPr>
      <t>entity</t>
    </r>
    <r>
      <rPr>
        <sz val="11"/>
        <color theme="1"/>
        <rFont val="Verdana"/>
        <family val="2"/>
      </rPr>
      <t xml:space="preserve">'s data encrypted in storage? </t>
    </r>
  </si>
  <si>
    <r>
      <t xml:space="preserve">Do you provide inspection process documents for the </t>
    </r>
    <r>
      <rPr>
        <strike/>
        <sz val="11"/>
        <color rgb="FFFF0000"/>
        <rFont val="Verdana"/>
        <family val="2"/>
      </rPr>
      <t>utility</t>
    </r>
    <r>
      <rPr>
        <sz val="11"/>
        <color rgb="FFFF0000"/>
        <rFont val="Verdana"/>
        <family val="2"/>
      </rPr>
      <t>entity</t>
    </r>
    <r>
      <rPr>
        <sz val="11"/>
        <rFont val="Verdana"/>
        <family val="2"/>
      </rPr>
      <t xml:space="preserve"> to receive equipment?</t>
    </r>
  </si>
  <si>
    <r>
      <t xml:space="preserve">Do you have a process to monitor industry threat and information sharing entities (e.g., </t>
    </r>
    <r>
      <rPr>
        <strike/>
        <sz val="11"/>
        <color rgb="FFFF0000"/>
        <rFont val="Verdana"/>
        <family val="2"/>
      </rPr>
      <t>US-CERT,</t>
    </r>
    <r>
      <rPr>
        <sz val="11"/>
        <rFont val="Verdana"/>
        <family val="2"/>
      </rPr>
      <t xml:space="preserve"> National Vulnerability Database, CISA-AIS)?</t>
    </r>
  </si>
  <si>
    <r>
      <t xml:space="preserve">Do you establish and maintain a security program for the product(s) or service(s) being purchased, including implemented processes to verify the integrity and authenticity of the software, patches, and firmware relevant to the product(s) or service(s) being delivered to the </t>
    </r>
    <r>
      <rPr>
        <strike/>
        <sz val="11"/>
        <color rgb="FFFF0000"/>
        <rFont val="Verdana"/>
        <family val="2"/>
      </rPr>
      <t>utility</t>
    </r>
    <r>
      <rPr>
        <sz val="11"/>
        <color rgb="FFFF0000"/>
        <rFont val="Verdana"/>
        <family val="2"/>
      </rPr>
      <t>entity</t>
    </r>
    <r>
      <rPr>
        <sz val="11"/>
        <rFont val="Verdana"/>
        <family val="2"/>
      </rPr>
      <t>?</t>
    </r>
  </si>
  <si>
    <r>
      <t xml:space="preserve">Have you implemented security controls for the use of devices that access </t>
    </r>
    <r>
      <rPr>
        <strike/>
        <sz val="11"/>
        <color rgb="FFFF0000"/>
        <rFont val="Verdana"/>
        <family val="2"/>
      </rPr>
      <t>utility</t>
    </r>
    <r>
      <rPr>
        <sz val="11"/>
        <color rgb="FFFF0000"/>
        <rFont val="Verdana"/>
        <family val="2"/>
      </rPr>
      <t>entity</t>
    </r>
    <r>
      <rPr>
        <sz val="11"/>
        <rFont val="Verdana"/>
        <family val="2"/>
      </rPr>
      <t xml:space="preserve">'s system (e.g., mobile, laptop, non-company devices)? </t>
    </r>
  </si>
  <si>
    <r>
      <t xml:space="preserve">Is your cybersecurity program compliant with FISMA standards? Or, in the case of products configured by the </t>
    </r>
    <r>
      <rPr>
        <strike/>
        <sz val="11"/>
        <color rgb="FFFF0000"/>
        <rFont val="Verdana"/>
        <family val="2"/>
      </rPr>
      <t>utility</t>
    </r>
    <r>
      <rPr>
        <sz val="11"/>
        <color rgb="FFFF0000"/>
        <rFont val="Verdana"/>
        <family val="2"/>
      </rPr>
      <t>entity</t>
    </r>
    <r>
      <rPr>
        <sz val="11"/>
        <rFont val="Verdana"/>
        <family val="2"/>
      </rPr>
      <t xml:space="preserve"> client, do your products include features and capabilities that are in line with FISMA standards?</t>
    </r>
  </si>
  <si>
    <r>
      <t xml:space="preserve">Are employees allowed to take </t>
    </r>
    <r>
      <rPr>
        <strike/>
        <sz val="11"/>
        <color rgb="FFFF0000"/>
        <rFont val="Verdana"/>
        <family val="2"/>
      </rPr>
      <t>utility</t>
    </r>
    <r>
      <rPr>
        <sz val="11"/>
        <color rgb="FFFF0000"/>
        <rFont val="Verdana"/>
        <family val="2"/>
      </rPr>
      <t>entity</t>
    </r>
    <r>
      <rPr>
        <sz val="11"/>
        <color theme="1"/>
        <rFont val="Verdana"/>
        <family val="2"/>
      </rPr>
      <t xml:space="preserve">'s data out of the computing system in any form </t>
    </r>
    <r>
      <rPr>
        <sz val="11"/>
        <color rgb="FFFF0000"/>
        <rFont val="Verdana"/>
        <family val="2"/>
      </rPr>
      <t>(including entering into public artificial intelligence models)</t>
    </r>
    <r>
      <rPr>
        <sz val="11"/>
        <color theme="1"/>
        <rFont val="Verdana"/>
        <family val="2"/>
      </rPr>
      <t>?</t>
    </r>
  </si>
  <si>
    <r>
      <t xml:space="preserve">Do you notify the </t>
    </r>
    <r>
      <rPr>
        <strike/>
        <sz val="11"/>
        <color rgb="FFFF0000"/>
        <rFont val="Verdana"/>
        <family val="2"/>
      </rPr>
      <t>utility</t>
    </r>
    <r>
      <rPr>
        <sz val="11"/>
        <color rgb="FFFF0000"/>
        <rFont val="Verdana"/>
        <family val="2"/>
      </rPr>
      <t>entity</t>
    </r>
    <r>
      <rPr>
        <sz val="11"/>
        <rFont val="Verdana"/>
        <family val="2"/>
      </rPr>
      <t xml:space="preserve"> of any vulnerabilities in your product(s) or service(s) in a timely manner that does not increase threat vectors (e.g., security patch is available or vulnerability is publicly known or imminent to be released publicly)?</t>
    </r>
  </si>
  <si>
    <r>
      <t>Will you provide results of security scans to the</t>
    </r>
    <r>
      <rPr>
        <strike/>
        <sz val="11"/>
        <color theme="1"/>
        <rFont val="Verdana"/>
        <family val="2"/>
      </rPr>
      <t xml:space="preserve"> </t>
    </r>
    <r>
      <rPr>
        <strike/>
        <sz val="11"/>
        <color rgb="FFFF0000"/>
        <rFont val="Verdana"/>
        <family val="2"/>
      </rPr>
      <t>utility</t>
    </r>
    <r>
      <rPr>
        <sz val="11"/>
        <color rgb="FFFF0000"/>
        <rFont val="Verdana"/>
        <family val="2"/>
      </rPr>
      <t>entity</t>
    </r>
    <r>
      <rPr>
        <sz val="11"/>
        <color theme="1"/>
        <rFont val="Verdana"/>
        <family val="2"/>
      </rPr>
      <t>?</t>
    </r>
  </si>
  <si>
    <r>
      <t xml:space="preserve">In instances where the incident has the potential to affect the </t>
    </r>
    <r>
      <rPr>
        <strike/>
        <sz val="11"/>
        <color rgb="FFFF0000"/>
        <rFont val="Verdana"/>
        <family val="2"/>
      </rPr>
      <t>utility</t>
    </r>
    <r>
      <rPr>
        <sz val="11"/>
        <color rgb="FFFF0000"/>
        <rFont val="Verdana"/>
        <family val="2"/>
      </rPr>
      <t>entity</t>
    </r>
    <r>
      <rPr>
        <sz val="11"/>
        <color rgb="FF0070C0"/>
        <rFont val="Verdana"/>
        <family val="2"/>
      </rPr>
      <t>'s data and/or operations, is notification provided within 2 hours of identification? If not, please provide the number of hours before notification is made.</t>
    </r>
  </si>
  <si>
    <t>Added guidance regarding applicability of other CIP standards not mapped in this resource.
CIP mappings updated to refer more specifically to their table or attachment, where applicable.
NIST Cybersecurity Framework Version 1.1 mappings updated to NIST Cybersecurity Framework 2.0
VULN-16 and guidance updated to incorporate more risk assessment formats
Supplier response columns consolidated to use area of focus drop-down box; instructions updated
Reworded IAM-13, DATA-10 for clarity
Reworded THRD-01, CSPM-04, DATA-08, DATA-09, DATA-14, RISK-21 to include artificial intelligence
Replaced instances of "utility" with "entity" for consistency and to avoid potential confusion</t>
  </si>
  <si>
    <r>
      <t xml:space="preserve">Please note that </t>
    </r>
    <r>
      <rPr>
        <sz val="12"/>
        <color rgb="FFFF0000"/>
        <rFont val="Verdana"/>
        <family val="2"/>
      </rPr>
      <t xml:space="preserve">responses may be provided for three areas of focus </t>
    </r>
    <r>
      <rPr>
        <strike/>
        <sz val="12"/>
        <color rgb="FFFF0000"/>
        <rFont val="Verdana"/>
        <family val="2"/>
      </rPr>
      <t>there are THREE separate answers for questions</t>
    </r>
    <r>
      <rPr>
        <sz val="12"/>
        <color rgb="FFFF0000"/>
        <rFont val="Verdana"/>
        <family val="2"/>
      </rPr>
      <t>, each</t>
    </r>
    <r>
      <rPr>
        <sz val="12"/>
        <rFont val="Verdana"/>
        <family val="2"/>
      </rPr>
      <t xml:space="preserve"> relating to different computing environments a </t>
    </r>
    <r>
      <rPr>
        <strike/>
        <sz val="12"/>
        <color rgb="FFFF0000"/>
        <rFont val="Verdana"/>
        <family val="2"/>
      </rPr>
      <t>S</t>
    </r>
    <r>
      <rPr>
        <sz val="12"/>
        <color rgb="FFFF0000"/>
        <rFont val="Verdana"/>
        <family val="2"/>
      </rPr>
      <t>s</t>
    </r>
    <r>
      <rPr>
        <sz val="12"/>
        <rFont val="Verdana"/>
        <family val="2"/>
      </rPr>
      <t xml:space="preserve">upplier may utilize to meet client needs. The intent is to capture security measures for these different environments, as each has a different </t>
    </r>
    <r>
      <rPr>
        <strike/>
        <sz val="12"/>
        <color rgb="FFFF0000"/>
        <rFont val="Verdana"/>
        <family val="2"/>
      </rPr>
      <t>a</t>
    </r>
    <r>
      <rPr>
        <sz val="12"/>
        <color rgb="FFFF0000"/>
        <rFont val="Verdana"/>
        <family val="2"/>
      </rPr>
      <t>e</t>
    </r>
    <r>
      <rPr>
        <sz val="12"/>
        <rFont val="Verdana"/>
        <family val="2"/>
      </rPr>
      <t xml:space="preserve">ffect on </t>
    </r>
    <r>
      <rPr>
        <strike/>
        <sz val="12"/>
        <color rgb="FFFF0000"/>
        <rFont val="Verdana"/>
        <family val="2"/>
      </rPr>
      <t>utility</t>
    </r>
    <r>
      <rPr>
        <sz val="12"/>
        <color rgb="FFFF0000"/>
        <rFont val="Verdana"/>
        <family val="2"/>
      </rPr>
      <t>entity</t>
    </r>
    <r>
      <rPr>
        <sz val="12"/>
        <rFont val="Verdana"/>
        <family val="2"/>
      </rPr>
      <t xml:space="preserve"> client security:
</t>
    </r>
    <r>
      <rPr>
        <strike/>
        <sz val="12"/>
        <color rgb="FFFF0000"/>
        <rFont val="Verdana"/>
        <family val="2"/>
      </rPr>
      <t>1.</t>
    </r>
    <r>
      <rPr>
        <sz val="12"/>
        <color rgb="FFFF0000"/>
        <rFont val="Verdana"/>
        <family val="2"/>
      </rPr>
      <t xml:space="preserve">• </t>
    </r>
    <r>
      <rPr>
        <sz val="12"/>
        <rFont val="Verdana"/>
        <family val="2"/>
      </rPr>
      <t xml:space="preserve">Supplier </t>
    </r>
    <r>
      <rPr>
        <strike/>
        <sz val="12"/>
        <color rgb="FFFF0000"/>
        <rFont val="Verdana"/>
        <family val="2"/>
      </rPr>
      <t>Corporate</t>
    </r>
    <r>
      <rPr>
        <sz val="12"/>
        <rFont val="Verdana"/>
        <family val="2"/>
      </rPr>
      <t xml:space="preserve"> Systems - These are the computing systems the </t>
    </r>
    <r>
      <rPr>
        <strike/>
        <sz val="12"/>
        <color rgb="FFFF0000"/>
        <rFont val="Verdana"/>
        <family val="2"/>
      </rPr>
      <t>S</t>
    </r>
    <r>
      <rPr>
        <sz val="12"/>
        <color rgb="FFFF0000"/>
        <rFont val="Verdana"/>
        <family val="2"/>
      </rPr>
      <t>s</t>
    </r>
    <r>
      <rPr>
        <sz val="12"/>
        <rFont val="Verdana"/>
        <family val="2"/>
      </rPr>
      <t xml:space="preserve">upplier relies on for their own business needs, such as email, web presence, billing/invoicing, accounting, and others.
</t>
    </r>
    <r>
      <rPr>
        <strike/>
        <sz val="12"/>
        <color rgb="FFFF0000"/>
        <rFont val="Verdana"/>
        <family val="2"/>
      </rPr>
      <t>2.</t>
    </r>
    <r>
      <rPr>
        <sz val="12"/>
        <color rgb="FFFF0000"/>
        <rFont val="Verdana"/>
        <family val="2"/>
      </rPr>
      <t>•</t>
    </r>
    <r>
      <rPr>
        <sz val="12"/>
        <rFont val="Verdana"/>
        <family val="2"/>
      </rPr>
      <t xml:space="preserve"> Supplier Product - The actual product, be it software, hardware, or combination, that is sold to the </t>
    </r>
    <r>
      <rPr>
        <strike/>
        <sz val="12"/>
        <color rgb="FFFF0000"/>
        <rFont val="Verdana"/>
        <family val="2"/>
      </rPr>
      <t>utility</t>
    </r>
    <r>
      <rPr>
        <sz val="12"/>
        <color rgb="FFFF0000"/>
        <rFont val="Verdana"/>
        <family val="2"/>
      </rPr>
      <t>entity</t>
    </r>
    <r>
      <rPr>
        <sz val="12"/>
        <rFont val="Verdana"/>
        <family val="2"/>
      </rPr>
      <t xml:space="preserve"> client for their use.
</t>
    </r>
    <r>
      <rPr>
        <strike/>
        <sz val="12"/>
        <color rgb="FFFF0000"/>
        <rFont val="Verdana"/>
        <family val="2"/>
      </rPr>
      <t>3.</t>
    </r>
    <r>
      <rPr>
        <sz val="12"/>
        <color rgb="FFFF0000"/>
        <rFont val="Verdana"/>
        <family val="2"/>
      </rPr>
      <t>•</t>
    </r>
    <r>
      <rPr>
        <sz val="12"/>
        <rFont val="Verdana"/>
        <family val="2"/>
      </rPr>
      <t xml:space="preserve"> Supplier </t>
    </r>
    <r>
      <rPr>
        <strike/>
        <sz val="12"/>
        <color rgb="FFFF0000"/>
        <rFont val="Verdana"/>
        <family val="2"/>
      </rPr>
      <t>Product</t>
    </r>
    <r>
      <rPr>
        <sz val="12"/>
        <rFont val="Verdana"/>
        <family val="2"/>
      </rPr>
      <t xml:space="preserve"> Development </t>
    </r>
    <r>
      <rPr>
        <sz val="12"/>
        <color rgb="FFFF0000"/>
        <rFont val="Verdana"/>
        <family val="2"/>
      </rPr>
      <t>Environment</t>
    </r>
    <r>
      <rPr>
        <strike/>
        <sz val="12"/>
        <color rgb="FFFF0000"/>
        <rFont val="Verdana"/>
        <family val="2"/>
      </rPr>
      <t>Systems</t>
    </r>
    <r>
      <rPr>
        <sz val="12"/>
        <rFont val="Verdana"/>
        <family val="2"/>
      </rPr>
      <t xml:space="preserve"> - These are the computing systems the </t>
    </r>
    <r>
      <rPr>
        <strike/>
        <sz val="12"/>
        <color rgb="FFFF0000"/>
        <rFont val="Verdana"/>
        <family val="2"/>
      </rPr>
      <t>S</t>
    </r>
    <r>
      <rPr>
        <sz val="12"/>
        <color rgb="FFFF0000"/>
        <rFont val="Verdana"/>
        <family val="2"/>
      </rPr>
      <t>s</t>
    </r>
    <r>
      <rPr>
        <sz val="12"/>
        <rFont val="Verdana"/>
        <family val="2"/>
      </rPr>
      <t xml:space="preserve">upplier relies on for developing products sold to </t>
    </r>
    <r>
      <rPr>
        <strike/>
        <sz val="12"/>
        <color rgb="FFFF0000"/>
        <rFont val="Verdana"/>
        <family val="2"/>
      </rPr>
      <t>utility</t>
    </r>
    <r>
      <rPr>
        <sz val="12"/>
        <color rgb="FFFF0000"/>
        <rFont val="Verdana"/>
        <family val="2"/>
      </rPr>
      <t>entity</t>
    </r>
    <r>
      <rPr>
        <sz val="12"/>
        <rFont val="Verdana"/>
        <family val="2"/>
      </rPr>
      <t xml:space="preserve"> clients, such as software development environment(s), software/hardware testing systems, automated testing infrastructure.
</t>
    </r>
    <r>
      <rPr>
        <sz val="12"/>
        <color rgb="FFFF0000"/>
        <rFont val="Verdana"/>
        <family val="2"/>
      </rPr>
      <t>The following steps may be used by a supplier to complete this Questionnaire; if multiple areas of focus are being submitted, complete and return a separate Questionnaire for each area. 
Step 1: Using the descriptions above, select which area of focus these responses apply to in the Questionnaire Area of Focus drop-down box below.</t>
    </r>
    <r>
      <rPr>
        <sz val="12"/>
        <rFont val="Verdana"/>
        <family val="2"/>
      </rPr>
      <t xml:space="preserve">
</t>
    </r>
    <r>
      <rPr>
        <sz val="12"/>
        <color rgb="FFFF0000"/>
        <rFont val="Verdana"/>
        <family val="2"/>
      </rPr>
      <t xml:space="preserve">Step </t>
    </r>
    <r>
      <rPr>
        <strike/>
        <sz val="12"/>
        <color rgb="FFFF0000"/>
        <rFont val="Verdana"/>
        <family val="2"/>
      </rPr>
      <t>1</t>
    </r>
    <r>
      <rPr>
        <sz val="12"/>
        <color rgb="FFFF0000"/>
        <rFont val="Verdana"/>
        <family val="2"/>
      </rPr>
      <t>2</t>
    </r>
    <r>
      <rPr>
        <sz val="12"/>
        <rFont val="Verdana"/>
        <family val="2"/>
      </rPr>
      <t xml:space="preserve">: Complete each section answering each set of questions. Do NOT provide values in the Answer, Weight, or Score columns - they should remain blank.
Step </t>
    </r>
    <r>
      <rPr>
        <strike/>
        <sz val="12"/>
        <color rgb="FFFF0000"/>
        <rFont val="Verdana"/>
        <family val="2"/>
      </rPr>
      <t>2</t>
    </r>
    <r>
      <rPr>
        <sz val="12"/>
        <color rgb="FFFF0000"/>
        <rFont val="Verdana"/>
        <family val="2"/>
      </rPr>
      <t>3</t>
    </r>
    <r>
      <rPr>
        <sz val="12"/>
        <rFont val="Verdana"/>
        <family val="2"/>
      </rPr>
      <t xml:space="preserve">: Submit the completed </t>
    </r>
    <r>
      <rPr>
        <i/>
        <sz val="12"/>
        <rFont val="Verdana"/>
        <family val="2"/>
      </rPr>
      <t>Energy Sector Supply Chain Risk Questionnaire</t>
    </r>
    <r>
      <rPr>
        <sz val="12"/>
        <rFont val="Verdana"/>
        <family val="2"/>
      </rPr>
      <t xml:space="preserve"> to the </t>
    </r>
    <r>
      <rPr>
        <strike/>
        <sz val="12"/>
        <color rgb="FFFF0000"/>
        <rFont val="Verdana"/>
        <family val="2"/>
      </rPr>
      <t>utility</t>
    </r>
    <r>
      <rPr>
        <sz val="12"/>
        <color rgb="FFFF0000"/>
        <rFont val="Verdana"/>
        <family val="2"/>
      </rPr>
      <t>entity</t>
    </r>
    <r>
      <rPr>
        <sz val="12"/>
        <rFont val="Verdana"/>
        <family val="2"/>
      </rPr>
      <t xml:space="preserve"> according to </t>
    </r>
    <r>
      <rPr>
        <strike/>
        <sz val="12"/>
        <color rgb="FFFF0000"/>
        <rFont val="Verdana"/>
        <family val="2"/>
      </rPr>
      <t>utility</t>
    </r>
    <r>
      <rPr>
        <sz val="12"/>
        <color rgb="FFFF0000"/>
        <rFont val="Verdana"/>
        <family val="2"/>
      </rPr>
      <t>entity</t>
    </r>
    <r>
      <rPr>
        <sz val="12"/>
        <rFont val="Verdana"/>
        <family val="2"/>
      </rPr>
      <t>'s procedures.
Most answers may be "Yes", "No", or "Not Applicable</t>
    </r>
    <r>
      <rPr>
        <sz val="12"/>
        <color rgb="FFFF0000"/>
        <rFont val="Verdana"/>
        <family val="2"/>
      </rPr>
      <t>.</t>
    </r>
    <r>
      <rPr>
        <sz val="12"/>
        <rFont val="Verdana"/>
        <family val="2"/>
      </rPr>
      <t>"</t>
    </r>
    <r>
      <rPr>
        <strike/>
        <sz val="12"/>
        <color rgb="FFFF0000"/>
        <rFont val="Verdana"/>
        <family val="2"/>
      </rPr>
      <t>.</t>
    </r>
    <r>
      <rPr>
        <sz val="12"/>
        <rFont val="Verdana"/>
        <family val="2"/>
      </rPr>
      <t xml:space="preserve"> Cases of "Not Applicable" must have a reason listed in the "Additional Information" box. The Guidance column </t>
    </r>
    <r>
      <rPr>
        <strike/>
        <sz val="12"/>
        <color rgb="FFFF0000"/>
        <rFont val="Verdana"/>
        <family val="2"/>
      </rPr>
      <t>will</t>
    </r>
    <r>
      <rPr>
        <sz val="12"/>
        <color rgb="FFFF0000"/>
        <rFont val="Verdana"/>
        <family val="2"/>
      </rPr>
      <t xml:space="preserve"> may</t>
    </r>
    <r>
      <rPr>
        <sz val="12"/>
        <rFont val="Verdana"/>
        <family val="2"/>
      </rPr>
      <t xml:space="preserve"> provide details on what to include (at a minimum) in the "Additional Information" column. Abbreviations and definitions are provided in the </t>
    </r>
    <r>
      <rPr>
        <i/>
        <sz val="12"/>
        <rFont val="Verdana"/>
        <family val="2"/>
      </rPr>
      <t>NATF Supply Chain Security Criteria</t>
    </r>
    <r>
      <rPr>
        <sz val="12"/>
        <rFont val="Verdana"/>
        <family val="2"/>
      </rPr>
      <t>. Defined terms can be found in the NERC Glossary of Terms on the NERC Standards Program Area website or directly at https://www.nerc.com/pa/Stand/Glossary%20of%20Terms/Glossary_of_Terms.pdf.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</si>
</sst>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80"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0"/>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sz val="9"/>
      <color indexed="8"/>
      <name val="Calibri"/>
      <family val="2"/>
    </font>
    <font>
      <sz val="11"/>
      <name val="Calibri"/>
      <family val="2"/>
      <scheme val="minor"/>
    </font>
    <font>
      <b/>
      <sz val="16"/>
      <color theme="0" tint="-0.249977111117893"/>
      <name val="Verdana"/>
      <family val="2"/>
    </font>
    <font>
      <u/>
      <sz val="12"/>
      <color theme="10"/>
      <name val="Verdana"/>
      <family val="2"/>
    </font>
    <font>
      <sz val="8"/>
      <name val="Verdana"/>
      <family val="2"/>
    </font>
    <font>
      <sz val="11"/>
      <color theme="8"/>
      <name val="Verdana"/>
      <family val="2"/>
    </font>
    <font>
      <sz val="14"/>
      <color indexed="8"/>
      <name val="Verdana"/>
      <family val="2"/>
    </font>
    <font>
      <b/>
      <sz val="16"/>
      <color indexed="8"/>
      <name val="Verdana"/>
      <family val="2"/>
    </font>
    <font>
      <b/>
      <sz val="14"/>
      <color indexed="8"/>
      <name val="Verdana"/>
      <family val="2"/>
    </font>
    <font>
      <i/>
      <sz val="11"/>
      <name val="Calibri"/>
      <family val="2"/>
      <scheme val="minor"/>
    </font>
    <font>
      <b/>
      <sz val="22"/>
      <name val="Calibri Light"/>
      <family val="2"/>
      <scheme val="major"/>
    </font>
    <font>
      <sz val="11"/>
      <color indexed="8"/>
      <name val="Calibri"/>
      <family val="2"/>
      <scheme val="minor"/>
    </font>
    <font>
      <b/>
      <sz val="24"/>
      <color theme="4" tint="-0.499984740745262"/>
      <name val="Calibri Light"/>
      <family val="2"/>
      <scheme val="major"/>
    </font>
    <font>
      <sz val="10"/>
      <name val="Arial"/>
      <family val="2"/>
    </font>
    <font>
      <b/>
      <sz val="12"/>
      <name val="Calibri"/>
      <family val="2"/>
      <scheme val="minor"/>
    </font>
    <font>
      <b/>
      <sz val="9"/>
      <name val="Calibri"/>
      <family val="2"/>
      <scheme val="minor"/>
    </font>
    <font>
      <strike/>
      <sz val="11"/>
      <name val="Verdana"/>
      <family val="2"/>
    </font>
    <font>
      <b/>
      <sz val="12"/>
      <name val="Calibri Light"/>
      <family val="2"/>
      <scheme val="major"/>
    </font>
    <font>
      <b/>
      <sz val="11"/>
      <name val="Calibri Light"/>
      <family val="2"/>
      <scheme val="major"/>
    </font>
    <font>
      <sz val="12"/>
      <name val="Calibri"/>
      <family val="2"/>
      <scheme val="minor"/>
    </font>
    <font>
      <strike/>
      <sz val="12"/>
      <name val="Calibri"/>
      <family val="2"/>
      <scheme val="minor"/>
    </font>
    <font>
      <b/>
      <sz val="12"/>
      <color theme="2"/>
      <name val="Verdana"/>
      <family val="2"/>
    </font>
    <font>
      <sz val="11"/>
      <color rgb="FFFF0000"/>
      <name val="Calibri"/>
      <family val="2"/>
      <scheme val="minor"/>
    </font>
    <font>
      <b/>
      <sz val="12"/>
      <color rgb="FFFF0000"/>
      <name val="Calibri"/>
      <family val="2"/>
      <scheme val="minor"/>
    </font>
    <font>
      <sz val="12"/>
      <color rgb="FFFF0000"/>
      <name val="Calibri"/>
      <family val="2"/>
      <scheme val="minor"/>
    </font>
    <font>
      <b/>
      <sz val="16"/>
      <color rgb="FFFF0000"/>
      <name val="Verdana"/>
      <family val="2"/>
    </font>
    <font>
      <b/>
      <sz val="12"/>
      <color rgb="FFFF0000"/>
      <name val="Verdana"/>
      <family val="2"/>
    </font>
    <font>
      <b/>
      <sz val="24"/>
      <color rgb="FFFF0000"/>
      <name val="Calibri Light"/>
      <family val="2"/>
      <scheme val="major"/>
    </font>
    <font>
      <sz val="12"/>
      <color rgb="FFFF0000"/>
      <name val="Verdana"/>
      <family val="2"/>
    </font>
    <font>
      <strike/>
      <sz val="12"/>
      <color rgb="FFFF0000"/>
      <name val="Calibri"/>
      <family val="2"/>
      <scheme val="minor"/>
    </font>
    <font>
      <strike/>
      <sz val="11"/>
      <color rgb="FFFF0000"/>
      <name val="Verdana"/>
      <family val="2"/>
    </font>
    <font>
      <strike/>
      <sz val="11"/>
      <color rgb="FFFF0000"/>
      <name val="Calibri"/>
      <family val="2"/>
      <scheme val="minor"/>
    </font>
    <font>
      <b/>
      <strike/>
      <sz val="16"/>
      <color rgb="FFFF0000"/>
      <name val="Verdana"/>
      <family val="2"/>
    </font>
    <font>
      <strike/>
      <sz val="11"/>
      <color indexed="8"/>
      <name val="Verdana"/>
      <family val="2"/>
    </font>
    <font>
      <b/>
      <strike/>
      <sz val="14"/>
      <color theme="0"/>
      <name val="Verdana"/>
      <family val="2"/>
    </font>
    <font>
      <strike/>
      <sz val="11"/>
      <color rgb="FF7030A0"/>
      <name val="Verdana"/>
      <family val="2"/>
    </font>
    <font>
      <strike/>
      <sz val="12"/>
      <color rgb="FFFF0000"/>
      <name val="Verdana"/>
      <family val="2"/>
    </font>
    <font>
      <b/>
      <sz val="14"/>
      <color rgb="FFFF0000"/>
      <name val="Verdana"/>
      <family val="2"/>
    </font>
    <font>
      <sz val="14"/>
      <color rgb="FFFF0000"/>
      <name val="Verdana"/>
      <family val="2"/>
    </font>
    <font>
      <b/>
      <strike/>
      <sz val="12"/>
      <color rgb="FFFF0000"/>
      <name val="Calibri"/>
      <family val="2"/>
      <scheme val="minor"/>
    </font>
    <font>
      <b/>
      <sz val="9"/>
      <name val="Calibri"/>
      <family val="2"/>
    </font>
    <font>
      <i/>
      <sz val="12"/>
      <name val="Verdana"/>
      <family val="2"/>
    </font>
    <font>
      <b/>
      <sz val="16"/>
      <color theme="2" tint="-9.9978637043366805E-2"/>
      <name val="Verdana"/>
      <family val="2"/>
    </font>
    <font>
      <b/>
      <strike/>
      <sz val="11"/>
      <color rgb="FFFF0000"/>
      <name val="Verdana"/>
      <family val="2"/>
    </font>
    <font>
      <strike/>
      <sz val="11"/>
      <color theme="1"/>
      <name val="Verdana"/>
      <family val="2"/>
    </font>
  </fonts>
  <fills count="2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
      <patternFill patternType="solid">
        <fgColor theme="2" tint="-0.749992370372631"/>
        <bgColor indexed="64"/>
      </patternFill>
    </fill>
    <fill>
      <patternFill patternType="solid">
        <fgColor theme="9" tint="0.79998168889431442"/>
        <bgColor indexed="64"/>
      </patternFill>
    </fill>
    <fill>
      <patternFill patternType="solid">
        <fgColor rgb="FFEBF1DE"/>
        <bgColor rgb="FF000000"/>
      </patternFill>
    </fill>
    <fill>
      <patternFill patternType="solid">
        <fgColor rgb="FFB8CCE4"/>
        <bgColor indexed="64"/>
      </patternFill>
    </fill>
    <fill>
      <patternFill patternType="solid">
        <fgColor rgb="FFB8CCE4"/>
        <bgColor rgb="FF000000"/>
      </patternFill>
    </fill>
    <fill>
      <patternFill patternType="solid">
        <fgColor rgb="FFDCE6F1"/>
        <bgColor rgb="FF000000"/>
      </patternFill>
    </fill>
    <fill>
      <patternFill patternType="solid">
        <fgColor rgb="FFDCE6F1"/>
        <bgColor indexed="64"/>
      </patternFill>
    </fill>
    <fill>
      <patternFill patternType="solid">
        <fgColor rgb="FFC4D79B"/>
        <bgColor indexed="64"/>
      </patternFill>
    </fill>
    <fill>
      <patternFill patternType="solid">
        <fgColor rgb="FFEBF1DE"/>
        <bgColor indexed="64"/>
      </patternFill>
    </fill>
    <fill>
      <patternFill patternType="solid">
        <fgColor rgb="FFFCD5B4"/>
        <bgColor rgb="FF000000"/>
      </patternFill>
    </fill>
    <fill>
      <patternFill patternType="solid">
        <fgColor rgb="FFFCD5B4"/>
        <bgColor indexed="64"/>
      </patternFill>
    </fill>
    <fill>
      <patternFill patternType="solid">
        <fgColor rgb="FFFF00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auto="1"/>
      </bottom>
      <diagonal/>
    </border>
    <border>
      <left/>
      <right style="thin">
        <color auto="1"/>
      </right>
      <top/>
      <bottom style="thin">
        <color auto="1"/>
      </bottom>
      <diagonal/>
    </border>
    <border>
      <left/>
      <right/>
      <top/>
      <bottom style="thin">
        <color auto="1"/>
      </bottom>
      <diagonal/>
    </border>
    <border>
      <left/>
      <right/>
      <top/>
      <bottom style="medium">
        <color indexed="64"/>
      </bottom>
      <diagonal/>
    </border>
    <border>
      <left style="thin">
        <color indexed="64"/>
      </left>
      <right style="thin">
        <color auto="1"/>
      </right>
      <top style="thin">
        <color auto="1"/>
      </top>
      <bottom/>
      <diagonal/>
    </border>
    <border>
      <left style="thin">
        <color indexed="64"/>
      </left>
      <right style="thin">
        <color auto="1"/>
      </right>
      <top/>
      <bottom style="thin">
        <color auto="1"/>
      </bottom>
      <diagonal/>
    </border>
  </borders>
  <cellStyleXfs count="93">
    <xf numFmtId="0" fontId="0" fillId="0" borderId="0" applyNumberFormat="0" applyFill="0" applyBorder="0" applyProtection="0">
      <alignment vertical="top" wrapText="1"/>
    </xf>
    <xf numFmtId="0" fontId="14" fillId="0" borderId="0"/>
    <xf numFmtId="0" fontId="11" fillId="0" borderId="0"/>
    <xf numFmtId="0" fontId="9" fillId="0" borderId="0"/>
    <xf numFmtId="0" fontId="38" fillId="0" borderId="0" applyNumberFormat="0" applyFill="0" applyBorder="0" applyAlignment="0" applyProtection="0">
      <alignment vertical="top" wrapText="1"/>
    </xf>
    <xf numFmtId="0" fontId="8" fillId="0" borderId="0"/>
    <xf numFmtId="0" fontId="8" fillId="0" borderId="0"/>
    <xf numFmtId="0" fontId="7" fillId="0" borderId="0"/>
    <xf numFmtId="0" fontId="7" fillId="0" borderId="0"/>
    <xf numFmtId="0" fontId="27" fillId="0" borderId="0" applyNumberFormat="0" applyFill="0" applyBorder="0" applyProtection="0">
      <alignment vertical="top" wrapText="1"/>
    </xf>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227">
    <xf numFmtId="0" fontId="0" fillId="0" borderId="0" xfId="0">
      <alignment vertical="top" wrapText="1"/>
    </xf>
    <xf numFmtId="0" fontId="17" fillId="0" borderId="0" xfId="0" applyNumberFormat="1" applyFont="1" applyAlignment="1"/>
    <xf numFmtId="0" fontId="21" fillId="4" borderId="1" xfId="0" applyNumberFormat="1" applyFont="1" applyFill="1" applyBorder="1" applyAlignment="1">
      <alignment horizontal="center" vertical="center" wrapText="1"/>
    </xf>
    <xf numFmtId="0" fontId="18" fillId="2" borderId="1" xfId="0" applyNumberFormat="1" applyFont="1" applyFill="1" applyBorder="1" applyAlignment="1">
      <alignment vertical="center" wrapText="1"/>
    </xf>
    <xf numFmtId="0" fontId="25" fillId="8" borderId="1" xfId="0" applyFont="1" applyFill="1" applyBorder="1" applyAlignment="1">
      <alignment vertical="center" wrapText="1"/>
    </xf>
    <xf numFmtId="0" fontId="17" fillId="0" borderId="0" xfId="0" applyNumberFormat="1" applyFont="1" applyAlignment="1">
      <alignment horizontal="center" vertical="center"/>
    </xf>
    <xf numFmtId="0" fontId="17" fillId="0" borderId="0" xfId="0" applyNumberFormat="1" applyFont="1" applyAlignment="1">
      <alignment wrapText="1"/>
    </xf>
    <xf numFmtId="0" fontId="23" fillId="0" borderId="0" xfId="0" applyNumberFormat="1" applyFont="1" applyBorder="1" applyAlignment="1">
      <alignment wrapText="1"/>
    </xf>
    <xf numFmtId="0" fontId="0" fillId="2" borderId="0" xfId="0" applyFill="1" applyBorder="1" applyAlignment="1">
      <alignment vertical="top"/>
    </xf>
    <xf numFmtId="0" fontId="17" fillId="2" borderId="0" xfId="0" applyFont="1" applyFill="1" applyBorder="1" applyAlignment="1">
      <alignment vertical="center"/>
    </xf>
    <xf numFmtId="0" fontId="29" fillId="7" borderId="1" xfId="0" applyFont="1" applyFill="1" applyBorder="1" applyAlignment="1">
      <alignment vertical="center" wrapText="1"/>
    </xf>
    <xf numFmtId="0" fontId="28" fillId="3" borderId="1" xfId="0" applyNumberFormat="1" applyFont="1" applyFill="1" applyBorder="1" applyAlignment="1">
      <alignment vertical="center" wrapText="1"/>
    </xf>
    <xf numFmtId="1" fontId="28" fillId="3" borderId="1" xfId="0" applyNumberFormat="1" applyFont="1" applyFill="1" applyBorder="1" applyAlignment="1">
      <alignment vertical="center" wrapText="1"/>
    </xf>
    <xf numFmtId="0" fontId="28" fillId="7" borderId="1" xfId="0" applyFont="1" applyFill="1" applyBorder="1" applyAlignment="1">
      <alignment vertical="center" wrapText="1"/>
    </xf>
    <xf numFmtId="0" fontId="28" fillId="10" borderId="1" xfId="0" applyNumberFormat="1" applyFont="1" applyFill="1" applyBorder="1" applyAlignment="1">
      <alignment vertical="center" wrapText="1"/>
    </xf>
    <xf numFmtId="1" fontId="31" fillId="0" borderId="1" xfId="0" applyNumberFormat="1" applyFont="1" applyFill="1" applyBorder="1" applyAlignment="1">
      <alignment vertical="center" wrapText="1"/>
    </xf>
    <xf numFmtId="0" fontId="18" fillId="10" borderId="1" xfId="0" applyNumberFormat="1" applyFont="1" applyFill="1" applyBorder="1" applyAlignment="1">
      <alignment vertical="center" wrapText="1"/>
    </xf>
    <xf numFmtId="0" fontId="31" fillId="3" borderId="1" xfId="0" applyNumberFormat="1" applyFont="1" applyFill="1" applyBorder="1" applyAlignment="1">
      <alignment horizontal="left" vertical="center" wrapText="1"/>
    </xf>
    <xf numFmtId="0" fontId="28" fillId="2" borderId="1" xfId="0" applyNumberFormat="1" applyFont="1" applyFill="1" applyBorder="1" applyAlignment="1">
      <alignment vertical="center" wrapText="1"/>
    </xf>
    <xf numFmtId="1" fontId="28" fillId="0" borderId="1" xfId="0" applyNumberFormat="1" applyFont="1" applyFill="1" applyBorder="1" applyAlignment="1">
      <alignment vertical="center" wrapText="1"/>
    </xf>
    <xf numFmtId="0" fontId="28" fillId="2" borderId="4" xfId="0" applyFont="1" applyFill="1" applyBorder="1" applyAlignment="1">
      <alignment vertical="center" wrapText="1"/>
    </xf>
    <xf numFmtId="0" fontId="31" fillId="0" borderId="1" xfId="0" applyNumberFormat="1" applyFont="1" applyFill="1" applyBorder="1" applyAlignment="1">
      <alignment horizontal="left" vertical="center" wrapText="1"/>
    </xf>
    <xf numFmtId="0" fontId="28" fillId="0" borderId="1" xfId="0" applyNumberFormat="1" applyFont="1" applyFill="1" applyBorder="1" applyAlignment="1">
      <alignment horizontal="left" vertical="center" wrapText="1"/>
    </xf>
    <xf numFmtId="0" fontId="29" fillId="0" borderId="1" xfId="0" applyFont="1" applyFill="1" applyBorder="1" applyAlignment="1">
      <alignment vertical="center" wrapText="1"/>
    </xf>
    <xf numFmtId="0" fontId="28" fillId="0" borderId="1" xfId="0" applyNumberFormat="1" applyFont="1" applyFill="1" applyBorder="1" applyAlignment="1">
      <alignment vertical="center" wrapText="1"/>
    </xf>
    <xf numFmtId="0" fontId="31" fillId="0" borderId="1" xfId="0" applyNumberFormat="1" applyFont="1" applyFill="1" applyBorder="1" applyAlignment="1">
      <alignment vertical="center" wrapText="1"/>
    </xf>
    <xf numFmtId="0" fontId="17" fillId="2" borderId="5" xfId="0" applyFont="1" applyFill="1" applyBorder="1" applyAlignment="1">
      <alignment vertical="center"/>
    </xf>
    <xf numFmtId="0" fontId="16" fillId="9" borderId="1" xfId="0" applyNumberFormat="1" applyFont="1" applyFill="1" applyBorder="1" applyAlignment="1">
      <alignment horizontal="left" vertical="center" wrapText="1"/>
    </xf>
    <xf numFmtId="0" fontId="17" fillId="0" borderId="0" xfId="0" applyNumberFormat="1" applyFont="1" applyAlignment="1">
      <alignment horizontal="left" vertical="center"/>
    </xf>
    <xf numFmtId="0" fontId="17" fillId="2" borderId="0" xfId="0" applyNumberFormat="1" applyFont="1" applyFill="1" applyBorder="1" applyAlignment="1">
      <alignment horizontal="left" vertical="center"/>
    </xf>
    <xf numFmtId="0" fontId="17" fillId="2" borderId="6" xfId="0" applyNumberFormat="1" applyFont="1" applyFill="1" applyBorder="1" applyAlignment="1">
      <alignment horizontal="left" vertical="center"/>
    </xf>
    <xf numFmtId="0" fontId="28" fillId="3" borderId="1" xfId="0" applyNumberFormat="1" applyFont="1" applyFill="1" applyBorder="1" applyAlignment="1">
      <alignment horizontal="left" vertical="center" wrapText="1"/>
    </xf>
    <xf numFmtId="0" fontId="28" fillId="2" borderId="1" xfId="0" applyNumberFormat="1" applyFont="1" applyFill="1" applyBorder="1" applyAlignment="1">
      <alignment horizontal="left" vertical="center" wrapText="1"/>
    </xf>
    <xf numFmtId="0" fontId="28" fillId="2" borderId="1" xfId="0" applyNumberFormat="1" applyFont="1" applyFill="1" applyBorder="1" applyAlignment="1">
      <alignment horizontal="center" vertical="center"/>
    </xf>
    <xf numFmtId="0" fontId="28" fillId="2" borderId="1" xfId="0" applyNumberFormat="1" applyFont="1" applyFill="1" applyBorder="1" applyAlignment="1">
      <alignment horizontal="center" vertical="center" wrapText="1"/>
    </xf>
    <xf numFmtId="0" fontId="28" fillId="8" borderId="1" xfId="0" applyFont="1" applyFill="1" applyBorder="1" applyAlignment="1">
      <alignment vertical="center" wrapText="1"/>
    </xf>
    <xf numFmtId="0" fontId="28"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NumberFormat="1" applyFont="1" applyFill="1" applyBorder="1" applyAlignment="1">
      <alignment horizontal="center" vertical="center"/>
    </xf>
    <xf numFmtId="0" fontId="24" fillId="2" borderId="1" xfId="0" applyNumberFormat="1" applyFont="1" applyFill="1" applyBorder="1" applyAlignment="1">
      <alignment horizontal="center" vertical="center" wrapText="1"/>
    </xf>
    <xf numFmtId="0" fontId="0" fillId="0" borderId="0" xfId="0" applyAlignment="1">
      <alignment vertical="top"/>
    </xf>
    <xf numFmtId="0" fontId="0" fillId="0" borderId="0" xfId="0" applyAlignment="1"/>
    <xf numFmtId="0" fontId="36" fillId="0" borderId="0" xfId="1" applyFont="1"/>
    <xf numFmtId="0" fontId="14" fillId="0" borderId="7" xfId="1" applyBorder="1" applyAlignment="1">
      <alignment horizontal="left" wrapText="1"/>
    </xf>
    <xf numFmtId="0" fontId="14" fillId="0" borderId="8" xfId="1" applyBorder="1" applyAlignment="1">
      <alignment horizontal="left" wrapText="1"/>
    </xf>
    <xf numFmtId="14" fontId="14" fillId="0" borderId="9" xfId="1" applyNumberFormat="1" applyBorder="1" applyAlignment="1">
      <alignment horizontal="left" wrapText="1"/>
    </xf>
    <xf numFmtId="0" fontId="14" fillId="0" borderId="10" xfId="1" applyBorder="1" applyAlignment="1">
      <alignment horizontal="center" wrapText="1"/>
    </xf>
    <xf numFmtId="0" fontId="14" fillId="0" borderId="10" xfId="1" applyBorder="1" applyAlignment="1">
      <alignment horizontal="left" wrapText="1"/>
    </xf>
    <xf numFmtId="0" fontId="28" fillId="0" borderId="1" xfId="0" applyFont="1" applyFill="1" applyBorder="1" applyAlignment="1">
      <alignment vertical="center" wrapText="1"/>
    </xf>
    <xf numFmtId="0" fontId="28" fillId="3" borderId="1" xfId="0" applyFont="1" applyFill="1" applyBorder="1" applyAlignment="1">
      <alignment vertical="center" wrapText="1"/>
    </xf>
    <xf numFmtId="0" fontId="13" fillId="0" borderId="8" xfId="1" applyFont="1" applyBorder="1" applyAlignment="1">
      <alignment horizontal="left" wrapText="1"/>
    </xf>
    <xf numFmtId="0" fontId="12" fillId="0" borderId="10" xfId="1" applyFont="1" applyBorder="1" applyAlignment="1">
      <alignment horizontal="left" wrapText="1"/>
    </xf>
    <xf numFmtId="1" fontId="34" fillId="2" borderId="1" xfId="0" applyNumberFormat="1" applyFont="1" applyFill="1" applyBorder="1" applyAlignment="1">
      <alignment vertical="center" wrapText="1"/>
    </xf>
    <xf numFmtId="0" fontId="34" fillId="2" borderId="1" xfId="0" applyNumberFormat="1" applyFont="1" applyFill="1" applyBorder="1" applyAlignment="1">
      <alignment vertical="center" wrapText="1"/>
    </xf>
    <xf numFmtId="0" fontId="34" fillId="11" borderId="1" xfId="0" applyFont="1" applyFill="1" applyBorder="1" applyAlignment="1">
      <alignment vertical="center" wrapText="1"/>
    </xf>
    <xf numFmtId="0" fontId="34" fillId="2" borderId="1" xfId="0" applyFont="1" applyFill="1" applyBorder="1" applyAlignment="1">
      <alignment vertical="center" wrapText="1"/>
    </xf>
    <xf numFmtId="165" fontId="10" fillId="0" borderId="10" xfId="1" applyNumberFormat="1" applyFont="1" applyBorder="1" applyAlignment="1">
      <alignment horizontal="center" vertical="top" wrapText="1"/>
    </xf>
    <xf numFmtId="0" fontId="28" fillId="2" borderId="0" xfId="0" applyFont="1" applyFill="1" applyBorder="1" applyAlignment="1">
      <alignment vertical="center"/>
    </xf>
    <xf numFmtId="0" fontId="29" fillId="0" borderId="0" xfId="0" applyFont="1">
      <alignment vertical="top" wrapText="1"/>
    </xf>
    <xf numFmtId="165" fontId="14" fillId="0" borderId="10" xfId="1" applyNumberFormat="1" applyBorder="1" applyAlignment="1">
      <alignment horizontal="center" wrapText="1"/>
    </xf>
    <xf numFmtId="0" fontId="24" fillId="0" borderId="0" xfId="0" applyNumberFormat="1" applyFont="1" applyAlignment="1"/>
    <xf numFmtId="14" fontId="36" fillId="0" borderId="9" xfId="1" applyNumberFormat="1" applyFont="1" applyBorder="1" applyAlignment="1">
      <alignment horizontal="left" vertical="top" wrapText="1"/>
    </xf>
    <xf numFmtId="0" fontId="40" fillId="2" borderId="1" xfId="0" applyFont="1" applyFill="1" applyBorder="1" applyAlignment="1">
      <alignment vertical="center" wrapText="1"/>
    </xf>
    <xf numFmtId="0" fontId="40" fillId="2" borderId="1" xfId="0" applyNumberFormat="1" applyFont="1" applyFill="1" applyBorder="1" applyAlignment="1">
      <alignment vertical="center" wrapText="1"/>
    </xf>
    <xf numFmtId="165" fontId="36" fillId="0" borderId="10" xfId="1" applyNumberFormat="1" applyFont="1" applyBorder="1" applyAlignment="1">
      <alignment horizontal="center" vertical="top" wrapText="1"/>
    </xf>
    <xf numFmtId="0" fontId="16" fillId="9" borderId="11" xfId="0" applyNumberFormat="1" applyFont="1" applyFill="1" applyBorder="1" applyAlignment="1">
      <alignment horizontal="center" vertical="center" wrapText="1"/>
    </xf>
    <xf numFmtId="0" fontId="16" fillId="9" borderId="12" xfId="0" applyNumberFormat="1" applyFont="1" applyFill="1" applyBorder="1" applyAlignment="1">
      <alignment horizontal="center" vertical="center" wrapText="1"/>
    </xf>
    <xf numFmtId="0" fontId="16" fillId="9" borderId="6" xfId="0" applyNumberFormat="1" applyFont="1" applyFill="1" applyBorder="1" applyAlignment="1">
      <alignment horizontal="center" vertical="center"/>
    </xf>
    <xf numFmtId="0" fontId="41" fillId="4" borderId="13" xfId="0" applyNumberFormat="1" applyFont="1" applyFill="1" applyBorder="1" applyAlignment="1">
      <alignment horizontal="center" vertical="center"/>
    </xf>
    <xf numFmtId="0" fontId="41" fillId="4" borderId="0" xfId="0" applyNumberFormat="1" applyFont="1" applyFill="1" applyBorder="1" applyAlignment="1">
      <alignment horizontal="center" vertical="center"/>
    </xf>
    <xf numFmtId="0" fontId="41" fillId="4" borderId="5" xfId="0" applyNumberFormat="1" applyFont="1" applyFill="1" applyBorder="1" applyAlignment="1">
      <alignment horizontal="center" vertical="center"/>
    </xf>
    <xf numFmtId="0" fontId="41" fillId="5" borderId="13" xfId="0" applyNumberFormat="1" applyFont="1" applyFill="1" applyBorder="1" applyAlignment="1">
      <alignment horizontal="center" vertical="center"/>
    </xf>
    <xf numFmtId="0" fontId="41" fillId="5" borderId="0"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1" fillId="13" borderId="1"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43" fillId="0" borderId="5" xfId="0" applyNumberFormat="1" applyFont="1" applyFill="1" applyBorder="1" applyAlignment="1">
      <alignment horizontal="center" vertical="center"/>
    </xf>
    <xf numFmtId="0" fontId="41" fillId="13" borderId="2" xfId="0" applyNumberFormat="1" applyFont="1" applyFill="1" applyBorder="1" applyAlignment="1">
      <alignment horizontal="center" vertical="center"/>
    </xf>
    <xf numFmtId="0" fontId="41" fillId="0" borderId="0" xfId="0" applyNumberFormat="1" applyFont="1" applyAlignment="1">
      <alignment horizontal="center" vertical="center"/>
    </xf>
    <xf numFmtId="0" fontId="41" fillId="0" borderId="0" xfId="0" applyNumberFormat="1" applyFont="1" applyFill="1" applyAlignment="1">
      <alignment horizontal="center" vertical="center"/>
    </xf>
    <xf numFmtId="0" fontId="36" fillId="0" borderId="10" xfId="1" applyFont="1" applyBorder="1" applyAlignment="1">
      <alignment horizontal="center" wrapText="1"/>
    </xf>
    <xf numFmtId="14" fontId="36" fillId="0" borderId="9" xfId="1" applyNumberFormat="1" applyFont="1" applyBorder="1" applyAlignment="1">
      <alignment horizontal="left" wrapText="1"/>
    </xf>
    <xf numFmtId="0" fontId="36" fillId="0" borderId="10" xfId="1" applyFont="1" applyBorder="1" applyAlignment="1">
      <alignment horizontal="left" wrapText="1"/>
    </xf>
    <xf numFmtId="0" fontId="36" fillId="0" borderId="8" xfId="1" applyFont="1" applyBorder="1" applyAlignment="1">
      <alignment horizontal="left" wrapText="1"/>
    </xf>
    <xf numFmtId="0" fontId="44" fillId="0" borderId="0" xfId="0" applyFont="1" applyAlignment="1"/>
    <xf numFmtId="165" fontId="36" fillId="0" borderId="10" xfId="1" applyNumberFormat="1" applyFont="1" applyBorder="1" applyAlignment="1">
      <alignment horizontal="center" wrapText="1"/>
    </xf>
    <xf numFmtId="0" fontId="36" fillId="0" borderId="7" xfId="1" applyFont="1" applyBorder="1" applyAlignment="1">
      <alignment horizontal="left" wrapText="1"/>
    </xf>
    <xf numFmtId="0" fontId="36" fillId="0" borderId="10" xfId="1" applyFont="1" applyBorder="1" applyAlignment="1">
      <alignment horizontal="left" vertical="top" wrapText="1"/>
    </xf>
    <xf numFmtId="0" fontId="16" fillId="9" borderId="1" xfId="0" applyNumberFormat="1" applyFont="1" applyFill="1" applyBorder="1" applyAlignment="1">
      <alignment horizontal="center" vertical="center" wrapText="1"/>
    </xf>
    <xf numFmtId="0" fontId="28" fillId="2" borderId="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34" fillId="0" borderId="1" xfId="0" applyNumberFormat="1" applyFont="1" applyFill="1" applyBorder="1" applyAlignment="1">
      <alignment vertical="center" wrapText="1"/>
    </xf>
    <xf numFmtId="1" fontId="34" fillId="0" borderId="1" xfId="0" applyNumberFormat="1" applyFont="1" applyFill="1" applyBorder="1" applyAlignment="1">
      <alignment vertical="center" wrapText="1"/>
    </xf>
    <xf numFmtId="0" fontId="49" fillId="0" borderId="1" xfId="0" applyFont="1" applyFill="1" applyBorder="1" applyAlignment="1">
      <alignment horizontal="center" vertical="center" wrapText="1"/>
    </xf>
    <xf numFmtId="0" fontId="49" fillId="0" borderId="1" xfId="9" applyFont="1" applyBorder="1" applyAlignment="1">
      <alignment horizontal="center" vertical="center" wrapText="1"/>
    </xf>
    <xf numFmtId="0" fontId="49" fillId="0" borderId="4" xfId="9" applyFont="1" applyBorder="1" applyAlignment="1">
      <alignment horizontal="center" vertical="center" wrapText="1"/>
    </xf>
    <xf numFmtId="0" fontId="50" fillId="0" borderId="1" xfId="9" applyFont="1" applyBorder="1" applyAlignment="1">
      <alignment horizontal="center" vertical="center" wrapText="1"/>
    </xf>
    <xf numFmtId="0" fontId="54" fillId="21" borderId="1" xfId="0" applyFont="1" applyFill="1" applyBorder="1" applyAlignment="1">
      <alignment horizontal="center" vertical="center" wrapText="1"/>
    </xf>
    <xf numFmtId="0" fontId="54" fillId="17" borderId="1" xfId="9" applyFont="1" applyFill="1" applyBorder="1" applyAlignment="1">
      <alignment horizontal="center" vertical="center" wrapText="1"/>
    </xf>
    <xf numFmtId="0" fontId="54" fillId="14" borderId="1" xfId="9" applyFont="1" applyFill="1" applyBorder="1" applyAlignment="1">
      <alignment horizontal="center" vertical="center" wrapText="1"/>
    </xf>
    <xf numFmtId="0" fontId="54" fillId="16" borderId="1" xfId="9" applyFont="1" applyFill="1" applyBorder="1" applyAlignment="1">
      <alignment horizontal="center" vertical="center" wrapText="1"/>
    </xf>
    <xf numFmtId="0" fontId="54" fillId="22" borderId="1" xfId="0" applyNumberFormat="1" applyFont="1" applyFill="1" applyBorder="1" applyAlignment="1"/>
    <xf numFmtId="0" fontId="54" fillId="18" borderId="1" xfId="9" applyNumberFormat="1" applyFont="1" applyFill="1" applyBorder="1" applyAlignment="1"/>
    <xf numFmtId="0" fontId="54" fillId="20" borderId="1" xfId="9" applyNumberFormat="1" applyFont="1" applyFill="1" applyBorder="1" applyAlignment="1"/>
    <xf numFmtId="0" fontId="54" fillId="15" borderId="1" xfId="9" applyNumberFormat="1" applyFont="1" applyFill="1" applyBorder="1" applyAlignment="1"/>
    <xf numFmtId="0" fontId="55" fillId="17" borderId="1" xfId="9" applyFont="1" applyFill="1" applyBorder="1" applyAlignment="1">
      <alignment horizontal="center" vertical="center" wrapText="1"/>
    </xf>
    <xf numFmtId="0" fontId="54" fillId="15" borderId="1" xfId="9" applyNumberFormat="1" applyFont="1" applyFill="1" applyBorder="1" applyAlignment="1">
      <alignment horizontal="center" vertical="center"/>
    </xf>
    <xf numFmtId="0" fontId="54" fillId="20" borderId="1" xfId="9" applyNumberFormat="1" applyFont="1" applyFill="1" applyBorder="1" applyAlignment="1">
      <alignment horizontal="center" vertical="center"/>
    </xf>
    <xf numFmtId="0" fontId="54" fillId="21" borderId="1" xfId="9" applyFont="1" applyFill="1" applyBorder="1" applyAlignment="1">
      <alignment horizontal="center" vertical="center" wrapText="1"/>
    </xf>
    <xf numFmtId="0" fontId="54" fillId="22" borderId="1" xfId="9" applyNumberFormat="1" applyFont="1" applyFill="1" applyBorder="1" applyAlignment="1"/>
    <xf numFmtId="0" fontId="54" fillId="16" borderId="1" xfId="62" applyFont="1" applyFill="1" applyBorder="1" applyAlignment="1">
      <alignment horizontal="center" vertical="center" wrapText="1"/>
    </xf>
    <xf numFmtId="0" fontId="54" fillId="18" borderId="1" xfId="9" applyNumberFormat="1" applyFont="1" applyFill="1" applyBorder="1" applyAlignment="1">
      <alignment horizontal="center" vertical="center"/>
    </xf>
    <xf numFmtId="0" fontId="54" fillId="22" borderId="1" xfId="9" applyNumberFormat="1" applyFont="1" applyFill="1" applyBorder="1" applyAlignment="1">
      <alignment horizontal="center" vertical="center"/>
    </xf>
    <xf numFmtId="0" fontId="54" fillId="18" borderId="1" xfId="9" applyNumberFormat="1" applyFont="1" applyFill="1" applyBorder="1" applyAlignment="1">
      <alignment horizontal="center" vertical="center" wrapText="1"/>
    </xf>
    <xf numFmtId="0" fontId="54" fillId="22" borderId="1" xfId="9" applyNumberFormat="1" applyFont="1" applyFill="1" applyBorder="1" applyAlignment="1">
      <alignment horizontal="center" vertical="center" wrapText="1"/>
    </xf>
    <xf numFmtId="0" fontId="54" fillId="20" borderId="1" xfId="9" applyNumberFormat="1" applyFont="1" applyFill="1" applyBorder="1" applyAlignment="1">
      <alignment horizontal="center" vertical="center" wrapText="1"/>
    </xf>
    <xf numFmtId="0" fontId="54" fillId="15" borderId="1" xfId="9" applyNumberFormat="1" applyFont="1" applyFill="1" applyBorder="1" applyAlignment="1">
      <alignment horizontal="center" vertical="center" wrapText="1"/>
    </xf>
    <xf numFmtId="0" fontId="56" fillId="9" borderId="1" xfId="0" applyNumberFormat="1" applyFont="1" applyFill="1" applyBorder="1" applyAlignment="1">
      <alignment horizontal="center" vertical="center" wrapText="1"/>
    </xf>
    <xf numFmtId="14" fontId="57" fillId="0" borderId="9" xfId="1" applyNumberFormat="1" applyFont="1" applyBorder="1" applyAlignment="1">
      <alignment horizontal="left" vertical="top" wrapText="1"/>
    </xf>
    <xf numFmtId="165" fontId="57" fillId="0" borderId="10" xfId="1" applyNumberFormat="1" applyFont="1" applyBorder="1" applyAlignment="1">
      <alignment horizontal="center" vertical="top" wrapText="1"/>
    </xf>
    <xf numFmtId="0" fontId="57" fillId="0" borderId="10" xfId="1" applyFont="1" applyBorder="1" applyAlignment="1">
      <alignment horizontal="center" vertical="top" wrapText="1"/>
    </xf>
    <xf numFmtId="0" fontId="57" fillId="0" borderId="10" xfId="1" applyFont="1" applyBorder="1" applyAlignment="1">
      <alignment horizontal="left" vertical="top" wrapText="1"/>
    </xf>
    <xf numFmtId="0" fontId="34" fillId="23" borderId="1" xfId="0" applyFont="1" applyFill="1" applyBorder="1" applyAlignment="1">
      <alignment vertical="center" wrapText="1"/>
    </xf>
    <xf numFmtId="0" fontId="29" fillId="5" borderId="16" xfId="0" applyNumberFormat="1" applyFont="1" applyFill="1" applyBorder="1" applyAlignment="1">
      <alignment horizontal="left" vertical="center" wrapText="1"/>
    </xf>
    <xf numFmtId="0" fontId="29" fillId="5" borderId="15" xfId="0" applyNumberFormat="1" applyFont="1" applyFill="1" applyBorder="1" applyAlignment="1">
      <alignment horizontal="left" vertical="center" wrapText="1"/>
    </xf>
    <xf numFmtId="0" fontId="28" fillId="3" borderId="2" xfId="0" applyNumberFormat="1" applyFont="1" applyFill="1" applyBorder="1" applyAlignment="1">
      <alignment vertical="center" wrapText="1"/>
    </xf>
    <xf numFmtId="1" fontId="28" fillId="3" borderId="2" xfId="0" applyNumberFormat="1" applyFont="1" applyFill="1" applyBorder="1" applyAlignment="1">
      <alignment vertical="center" wrapText="1"/>
    </xf>
    <xf numFmtId="1" fontId="28" fillId="3" borderId="4" xfId="0" applyNumberFormat="1" applyFont="1" applyFill="1" applyBorder="1" applyAlignment="1">
      <alignment vertical="center" wrapText="1"/>
    </xf>
    <xf numFmtId="0" fontId="28" fillId="0" borderId="2" xfId="0" applyNumberFormat="1" applyFont="1" applyFill="1" applyBorder="1" applyAlignment="1">
      <alignment vertical="center" wrapText="1"/>
    </xf>
    <xf numFmtId="0" fontId="28" fillId="0" borderId="4" xfId="0" applyNumberFormat="1" applyFont="1" applyFill="1" applyBorder="1" applyAlignment="1">
      <alignment vertical="center" wrapText="1"/>
    </xf>
    <xf numFmtId="0" fontId="68" fillId="23" borderId="0" xfId="0" applyFont="1" applyFill="1" applyBorder="1" applyAlignment="1">
      <alignment vertical="center"/>
    </xf>
    <xf numFmtId="0" fontId="69" fillId="23" borderId="1" xfId="0" applyNumberFormat="1" applyFont="1" applyFill="1" applyBorder="1" applyAlignment="1">
      <alignment horizontal="center" vertical="center" wrapText="1"/>
    </xf>
    <xf numFmtId="0" fontId="70" fillId="23" borderId="1" xfId="0" applyNumberFormat="1" applyFont="1" applyFill="1" applyBorder="1" applyAlignment="1">
      <alignment vertical="center" wrapText="1"/>
    </xf>
    <xf numFmtId="0" fontId="70" fillId="23" borderId="4" xfId="0" applyNumberFormat="1" applyFont="1" applyFill="1" applyBorder="1" applyAlignment="1">
      <alignment vertical="center" wrapText="1"/>
    </xf>
    <xf numFmtId="0" fontId="51" fillId="23" borderId="1" xfId="0" applyFont="1" applyFill="1" applyBorder="1" applyAlignment="1">
      <alignment vertical="center" wrapText="1"/>
    </xf>
    <xf numFmtId="0" fontId="51" fillId="23" borderId="1" xfId="0" applyNumberFormat="1" applyFont="1" applyFill="1" applyBorder="1" applyAlignment="1">
      <alignment vertical="center" wrapText="1"/>
    </xf>
    <xf numFmtId="0" fontId="51" fillId="23" borderId="3" xfId="0" applyNumberFormat="1" applyFont="1" applyFill="1" applyBorder="1" applyAlignment="1">
      <alignment vertical="center" wrapText="1"/>
    </xf>
    <xf numFmtId="1" fontId="51" fillId="23" borderId="1" xfId="0" applyNumberFormat="1" applyFont="1" applyFill="1" applyBorder="1" applyAlignment="1">
      <alignment vertical="center" wrapText="1"/>
    </xf>
    <xf numFmtId="0" fontId="68" fillId="23" borderId="0" xfId="0" applyNumberFormat="1" applyFont="1" applyFill="1" applyAlignment="1">
      <alignment horizontal="center" vertical="center"/>
    </xf>
    <xf numFmtId="0" fontId="41" fillId="5" borderId="5" xfId="0" applyNumberFormat="1" applyFont="1" applyFill="1" applyBorder="1" applyAlignment="1">
      <alignment horizontal="center" vertical="center"/>
    </xf>
    <xf numFmtId="0" fontId="72" fillId="4" borderId="1" xfId="0" applyNumberFormat="1" applyFont="1" applyFill="1" applyBorder="1" applyAlignment="1">
      <alignment horizontal="center" vertical="center" wrapText="1"/>
    </xf>
    <xf numFmtId="0" fontId="59" fillId="17" borderId="1" xfId="9" applyFont="1" applyFill="1" applyBorder="1" applyAlignment="1">
      <alignment horizontal="center" vertical="center" wrapText="1"/>
    </xf>
    <xf numFmtId="0" fontId="59" fillId="18" borderId="1" xfId="9" applyNumberFormat="1" applyFont="1" applyFill="1" applyBorder="1" applyAlignment="1">
      <alignment horizontal="center" vertical="center"/>
    </xf>
    <xf numFmtId="0" fontId="0" fillId="0" borderId="0" xfId="0" applyAlignment="1">
      <alignment horizontal="left" vertical="top" wrapText="1"/>
    </xf>
    <xf numFmtId="0" fontId="46" fillId="0" borderId="0" xfId="0" applyFont="1" applyAlignment="1">
      <alignment horizontal="left" vertical="center"/>
    </xf>
    <xf numFmtId="0" fontId="0" fillId="0" borderId="0" xfId="0" applyAlignment="1">
      <alignment vertical="center"/>
    </xf>
    <xf numFmtId="0" fontId="36" fillId="0" borderId="8" xfId="1" applyFont="1" applyBorder="1" applyAlignment="1">
      <alignment horizontal="center" vertical="center" wrapText="1"/>
    </xf>
    <xf numFmtId="0" fontId="59" fillId="18" borderId="1" xfId="9" applyNumberFormat="1" applyFont="1" applyFill="1" applyBorder="1" applyAlignment="1">
      <alignment horizontal="center" vertical="center" wrapText="1"/>
    </xf>
    <xf numFmtId="0" fontId="34" fillId="23" borderId="1" xfId="0" applyNumberFormat="1" applyFont="1" applyFill="1" applyBorder="1" applyAlignment="1">
      <alignment vertical="center" wrapText="1"/>
    </xf>
    <xf numFmtId="1" fontId="34" fillId="23" borderId="1" xfId="0" applyNumberFormat="1" applyFont="1" applyFill="1" applyBorder="1" applyAlignment="1">
      <alignment vertical="center" wrapText="1"/>
    </xf>
    <xf numFmtId="0" fontId="36" fillId="0" borderId="17" xfId="1" applyFont="1" applyBorder="1"/>
    <xf numFmtId="0" fontId="0" fillId="0" borderId="0" xfId="0" applyAlignment="1"/>
    <xf numFmtId="0" fontId="35" fillId="0" borderId="0" xfId="0" applyFont="1" applyAlignment="1">
      <alignment horizontal="left" vertical="center" wrapText="1"/>
    </xf>
    <xf numFmtId="0" fontId="47" fillId="0" borderId="0" xfId="0" applyFont="1" applyAlignment="1">
      <alignment horizontal="left" wrapText="1"/>
    </xf>
    <xf numFmtId="0" fontId="35" fillId="0" borderId="0" xfId="9" applyFont="1" applyAlignment="1">
      <alignment horizontal="left" vertical="top" wrapText="1"/>
    </xf>
    <xf numFmtId="0" fontId="75" fillId="0" borderId="0" xfId="0" applyFont="1" applyAlignment="1">
      <alignment horizontal="left" vertical="center" wrapText="1"/>
    </xf>
    <xf numFmtId="0" fontId="75" fillId="0" borderId="0" xfId="0" applyFont="1" applyAlignment="1">
      <alignment horizontal="left" vertical="center"/>
    </xf>
    <xf numFmtId="0" fontId="36" fillId="0" borderId="0" xfId="0" applyFont="1" applyAlignment="1"/>
    <xf numFmtId="0" fontId="45" fillId="0" borderId="0" xfId="0" applyFont="1" applyAlignment="1">
      <alignment horizontal="left" wrapText="1"/>
    </xf>
    <xf numFmtId="0" fontId="0" fillId="0" borderId="0" xfId="0" applyAlignment="1">
      <alignment vertical="center"/>
    </xf>
    <xf numFmtId="0" fontId="49" fillId="0" borderId="0" xfId="9" applyFont="1" applyAlignment="1">
      <alignment horizontal="left" vertical="center"/>
    </xf>
    <xf numFmtId="0" fontId="58" fillId="0" borderId="0" xfId="9" applyFont="1" applyAlignment="1">
      <alignment horizontal="left" vertical="center"/>
    </xf>
    <xf numFmtId="0" fontId="53" fillId="15" borderId="18" xfId="9" applyFont="1" applyFill="1" applyBorder="1" applyAlignment="1">
      <alignment horizontal="center" vertical="center" wrapText="1"/>
    </xf>
    <xf numFmtId="0" fontId="53" fillId="15" borderId="19" xfId="9" applyFont="1" applyFill="1" applyBorder="1" applyAlignment="1">
      <alignment horizontal="center" vertical="center" wrapText="1"/>
    </xf>
    <xf numFmtId="0" fontId="41" fillId="0" borderId="13" xfId="0" applyNumberFormat="1" applyFont="1" applyBorder="1" applyAlignment="1">
      <alignment horizontal="center" vertical="center"/>
    </xf>
    <xf numFmtId="0" fontId="41" fillId="0" borderId="0" xfId="0" applyNumberFormat="1" applyFont="1" applyBorder="1" applyAlignment="1">
      <alignment horizontal="center" vertical="center"/>
    </xf>
    <xf numFmtId="0" fontId="41" fillId="0" borderId="5" xfId="0" applyNumberFormat="1" applyFont="1" applyBorder="1" applyAlignment="1">
      <alignment horizontal="center" vertical="center"/>
    </xf>
    <xf numFmtId="0" fontId="52" fillId="15" borderId="11" xfId="0" applyNumberFormat="1" applyFont="1" applyFill="1" applyBorder="1" applyAlignment="1">
      <alignment horizontal="center" vertical="center" wrapText="1"/>
    </xf>
    <xf numFmtId="0" fontId="52" fillId="15" borderId="12" xfId="0" applyNumberFormat="1" applyFont="1" applyFill="1" applyBorder="1" applyAlignment="1">
      <alignment horizontal="center" vertical="center" wrapText="1"/>
    </xf>
    <xf numFmtId="0" fontId="52" fillId="15" borderId="6" xfId="0" applyNumberFormat="1" applyFont="1" applyFill="1" applyBorder="1" applyAlignment="1">
      <alignment horizontal="center" vertical="center" wrapText="1"/>
    </xf>
    <xf numFmtId="0" fontId="52" fillId="15" borderId="14" xfId="0" applyNumberFormat="1" applyFont="1" applyFill="1" applyBorder="1" applyAlignment="1">
      <alignment horizontal="center" vertical="center" wrapText="1"/>
    </xf>
    <xf numFmtId="0" fontId="52" fillId="15" borderId="16" xfId="0" applyNumberFormat="1" applyFont="1" applyFill="1" applyBorder="1" applyAlignment="1">
      <alignment horizontal="center" vertical="center" wrapText="1"/>
    </xf>
    <xf numFmtId="0" fontId="52" fillId="15" borderId="15" xfId="0" applyNumberFormat="1" applyFont="1" applyFill="1" applyBorder="1" applyAlignment="1">
      <alignment horizontal="center" vertical="center" wrapText="1"/>
    </xf>
    <xf numFmtId="0" fontId="52" fillId="15" borderId="11" xfId="0" applyNumberFormat="1" applyFont="1" applyFill="1" applyBorder="1" applyAlignment="1">
      <alignment horizontal="center" vertical="center"/>
    </xf>
    <xf numFmtId="0" fontId="52" fillId="15" borderId="12" xfId="0" applyNumberFormat="1" applyFont="1" applyFill="1" applyBorder="1" applyAlignment="1">
      <alignment horizontal="center" vertical="center"/>
    </xf>
    <xf numFmtId="0" fontId="52" fillId="15" borderId="6" xfId="0" applyNumberFormat="1" applyFont="1" applyFill="1" applyBorder="1" applyAlignment="1">
      <alignment horizontal="center" vertical="center"/>
    </xf>
    <xf numFmtId="0" fontId="52" fillId="15" borderId="14" xfId="0" applyNumberFormat="1" applyFont="1" applyFill="1" applyBorder="1" applyAlignment="1">
      <alignment horizontal="center" vertical="center"/>
    </xf>
    <xf numFmtId="0" fontId="52" fillId="15" borderId="16" xfId="0" applyNumberFormat="1" applyFont="1" applyFill="1" applyBorder="1" applyAlignment="1">
      <alignment horizontal="center" vertical="center"/>
    </xf>
    <xf numFmtId="0" fontId="52" fillId="15" borderId="15" xfId="0" applyNumberFormat="1" applyFont="1" applyFill="1" applyBorder="1" applyAlignment="1">
      <alignment horizontal="center" vertical="center"/>
    </xf>
    <xf numFmtId="0" fontId="52" fillId="15" borderId="18" xfId="9" applyFont="1" applyFill="1" applyBorder="1" applyAlignment="1">
      <alignment horizontal="center" vertical="center" wrapText="1"/>
    </xf>
    <xf numFmtId="0" fontId="52" fillId="15" borderId="19" xfId="9" applyFont="1" applyFill="1" applyBorder="1" applyAlignment="1">
      <alignment horizontal="center" vertical="center" wrapText="1"/>
    </xf>
    <xf numFmtId="0" fontId="52" fillId="19" borderId="18" xfId="9" applyFont="1" applyFill="1" applyBorder="1" applyAlignment="1">
      <alignment horizontal="center" vertical="center" wrapText="1"/>
    </xf>
    <xf numFmtId="0" fontId="52" fillId="19" borderId="19" xfId="9" applyFont="1" applyFill="1" applyBorder="1" applyAlignment="1">
      <alignment horizontal="center" vertical="center" wrapText="1"/>
    </xf>
    <xf numFmtId="0" fontId="19" fillId="2" borderId="3" xfId="0" applyNumberFormat="1" applyFont="1" applyFill="1" applyBorder="1" applyAlignment="1">
      <alignment horizontal="right" vertical="center" wrapText="1"/>
    </xf>
    <xf numFmtId="0" fontId="19" fillId="2" borderId="4" xfId="0" applyNumberFormat="1" applyFont="1" applyFill="1" applyBorder="1" applyAlignment="1">
      <alignment horizontal="right" vertical="center" wrapText="1"/>
    </xf>
    <xf numFmtId="0" fontId="21" fillId="4" borderId="2" xfId="0" applyNumberFormat="1" applyFont="1" applyFill="1" applyBorder="1" applyAlignment="1">
      <alignment horizontal="left" vertical="center" wrapText="1"/>
    </xf>
    <xf numFmtId="0" fontId="21" fillId="4" borderId="3" xfId="0" applyNumberFormat="1" applyFont="1" applyFill="1" applyBorder="1" applyAlignment="1">
      <alignment horizontal="left" vertical="center" wrapText="1"/>
    </xf>
    <xf numFmtId="0" fontId="21" fillId="4" borderId="4"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0" fontId="21" fillId="4" borderId="1" xfId="0" applyNumberFormat="1" applyFont="1" applyFill="1" applyBorder="1" applyAlignment="1">
      <alignment horizontal="left" vertical="center" wrapText="1"/>
    </xf>
    <xf numFmtId="0" fontId="29" fillId="5" borderId="11" xfId="0" applyNumberFormat="1" applyFont="1" applyFill="1" applyBorder="1" applyAlignment="1">
      <alignment horizontal="left" vertical="top" wrapText="1"/>
    </xf>
    <xf numFmtId="0" fontId="29" fillId="5" borderId="12" xfId="0" applyNumberFormat="1" applyFont="1" applyFill="1" applyBorder="1" applyAlignment="1">
      <alignment horizontal="left" vertical="top" wrapText="1"/>
    </xf>
    <xf numFmtId="0" fontId="29" fillId="5" borderId="6" xfId="0" applyNumberFormat="1" applyFont="1" applyFill="1" applyBorder="1" applyAlignment="1">
      <alignment horizontal="left" vertical="top" wrapText="1"/>
    </xf>
    <xf numFmtId="0" fontId="29" fillId="5" borderId="14" xfId="0" applyNumberFormat="1" applyFont="1" applyFill="1" applyBorder="1" applyAlignment="1">
      <alignment horizontal="left" vertical="top" wrapText="1"/>
    </xf>
    <xf numFmtId="0" fontId="29" fillId="5" borderId="16" xfId="0" applyNumberFormat="1" applyFont="1" applyFill="1" applyBorder="1" applyAlignment="1">
      <alignment horizontal="left" vertical="top" wrapText="1"/>
    </xf>
    <xf numFmtId="0" fontId="29" fillId="5" borderId="15" xfId="0" applyNumberFormat="1" applyFont="1" applyFill="1" applyBorder="1" applyAlignment="1">
      <alignment horizontal="left" vertical="top" wrapText="1"/>
    </xf>
    <xf numFmtId="0" fontId="27" fillId="2" borderId="0" xfId="0" applyFont="1" applyFill="1" applyBorder="1" applyAlignment="1">
      <alignment horizontal="left" vertical="top" wrapText="1"/>
    </xf>
    <xf numFmtId="0" fontId="27" fillId="2" borderId="5" xfId="0" applyFont="1" applyFill="1" applyBorder="1" applyAlignment="1">
      <alignment horizontal="left" vertical="top" wrapText="1"/>
    </xf>
    <xf numFmtId="0" fontId="27" fillId="2" borderId="16"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72" fillId="5" borderId="1" xfId="0" applyNumberFormat="1" applyFont="1" applyFill="1" applyBorder="1" applyAlignment="1">
      <alignment horizontal="right" vertical="center" wrapText="1"/>
    </xf>
    <xf numFmtId="0" fontId="73" fillId="3" borderId="2" xfId="0" applyNumberFormat="1" applyFont="1" applyFill="1" applyBorder="1" applyAlignment="1">
      <alignment horizontal="left" vertical="center" wrapText="1"/>
    </xf>
    <xf numFmtId="0" fontId="73" fillId="3" borderId="3" xfId="0" applyNumberFormat="1" applyFont="1" applyFill="1" applyBorder="1" applyAlignment="1">
      <alignment horizontal="left" vertical="center" wrapText="1"/>
    </xf>
    <xf numFmtId="0" fontId="33" fillId="0" borderId="2" xfId="0" applyNumberFormat="1" applyFont="1" applyFill="1" applyBorder="1" applyAlignment="1">
      <alignment horizontal="left" vertical="center" wrapText="1"/>
    </xf>
    <xf numFmtId="0" fontId="33" fillId="0" borderId="3" xfId="0" applyNumberFormat="1" applyFont="1" applyFill="1" applyBorder="1" applyAlignment="1">
      <alignment horizontal="left" vertical="center" wrapText="1"/>
    </xf>
    <xf numFmtId="0" fontId="33" fillId="0" borderId="4" xfId="0" applyNumberFormat="1" applyFont="1" applyFill="1" applyBorder="1" applyAlignment="1">
      <alignment horizontal="left" vertical="center" wrapText="1"/>
    </xf>
    <xf numFmtId="0" fontId="33" fillId="0" borderId="2" xfId="0" applyNumberFormat="1" applyFont="1" applyFill="1" applyBorder="1" applyAlignment="1">
      <alignment vertical="center" wrapText="1"/>
    </xf>
    <xf numFmtId="0" fontId="33" fillId="0" borderId="3" xfId="0" applyNumberFormat="1" applyFont="1" applyFill="1" applyBorder="1" applyAlignment="1">
      <alignment vertical="center" wrapText="1"/>
    </xf>
    <xf numFmtId="0" fontId="33" fillId="0" borderId="4" xfId="0" applyNumberFormat="1" applyFont="1" applyFill="1" applyBorder="1" applyAlignment="1">
      <alignment vertical="center" wrapText="1"/>
    </xf>
    <xf numFmtId="0" fontId="28" fillId="0" borderId="3" xfId="0" applyNumberFormat="1" applyFont="1" applyFill="1" applyBorder="1" applyAlignment="1">
      <alignment horizontal="left" vertical="center" wrapText="1"/>
    </xf>
    <xf numFmtId="0" fontId="28" fillId="0" borderId="4" xfId="0" applyNumberFormat="1" applyFont="1" applyFill="1" applyBorder="1" applyAlignment="1">
      <alignment horizontal="left" vertical="center" wrapText="1"/>
    </xf>
    <xf numFmtId="0" fontId="15" fillId="9" borderId="1" xfId="0" applyNumberFormat="1" applyFont="1" applyFill="1" applyBorder="1" applyAlignment="1">
      <alignment horizontal="left" vertical="center" wrapText="1"/>
    </xf>
    <xf numFmtId="0" fontId="26" fillId="0" borderId="0" xfId="0" applyFont="1" applyBorder="1" applyAlignment="1">
      <alignment vertical="center" wrapText="1"/>
    </xf>
    <xf numFmtId="0" fontId="17" fillId="2" borderId="0" xfId="0" applyFont="1" applyFill="1" applyBorder="1" applyAlignment="1">
      <alignment vertical="center"/>
    </xf>
    <xf numFmtId="0" fontId="22" fillId="6" borderId="2" xfId="0" applyNumberFormat="1" applyFont="1" applyFill="1" applyBorder="1" applyAlignment="1">
      <alignment horizontal="left" vertical="center" wrapText="1"/>
    </xf>
    <xf numFmtId="0" fontId="22" fillId="6" borderId="3" xfId="0" applyNumberFormat="1" applyFont="1" applyFill="1" applyBorder="1" applyAlignment="1">
      <alignment horizontal="left" vertical="center" wrapText="1"/>
    </xf>
    <xf numFmtId="0" fontId="22" fillId="6" borderId="4" xfId="0" applyNumberFormat="1" applyFont="1" applyFill="1" applyBorder="1" applyAlignment="1">
      <alignment horizontal="left" vertical="center" wrapText="1"/>
    </xf>
    <xf numFmtId="164" fontId="20" fillId="3" borderId="2" xfId="0" applyNumberFormat="1" applyFont="1" applyFill="1" applyBorder="1" applyAlignment="1">
      <alignment horizontal="left" vertical="center" wrapText="1"/>
    </xf>
    <xf numFmtId="164" fontId="20" fillId="3" borderId="3" xfId="0" applyNumberFormat="1" applyFont="1" applyFill="1" applyBorder="1" applyAlignment="1">
      <alignment horizontal="left" vertical="center" wrapText="1"/>
    </xf>
    <xf numFmtId="164" fontId="20" fillId="3" borderId="4" xfId="0" applyNumberFormat="1" applyFont="1" applyFill="1" applyBorder="1" applyAlignment="1">
      <alignment horizontal="left" vertical="center" wrapText="1"/>
    </xf>
    <xf numFmtId="0" fontId="29" fillId="5" borderId="2" xfId="0" applyNumberFormat="1" applyFont="1" applyFill="1" applyBorder="1" applyAlignment="1">
      <alignment horizontal="left" vertical="top" wrapText="1"/>
    </xf>
    <xf numFmtId="0" fontId="29" fillId="5" borderId="3" xfId="0" applyNumberFormat="1" applyFont="1" applyFill="1" applyBorder="1" applyAlignment="1">
      <alignment horizontal="left" vertical="top" wrapText="1"/>
    </xf>
    <xf numFmtId="0" fontId="29" fillId="5" borderId="4" xfId="0" applyNumberFormat="1" applyFont="1" applyFill="1" applyBorder="1" applyAlignment="1">
      <alignment horizontal="left" vertical="top" wrapText="1"/>
    </xf>
    <xf numFmtId="0" fontId="21" fillId="4" borderId="13" xfId="0" applyNumberFormat="1" applyFont="1" applyFill="1" applyBorder="1" applyAlignment="1">
      <alignment horizontal="center" vertical="center"/>
    </xf>
    <xf numFmtId="0" fontId="21" fillId="4" borderId="0" xfId="0" applyNumberFormat="1" applyFont="1" applyFill="1" applyBorder="1" applyAlignment="1">
      <alignment horizontal="center" vertical="center"/>
    </xf>
    <xf numFmtId="0" fontId="21" fillId="12" borderId="1" xfId="0" applyNumberFormat="1" applyFont="1" applyFill="1" applyBorder="1" applyAlignment="1">
      <alignment horizontal="center" vertical="center"/>
    </xf>
  </cellXfs>
  <cellStyles count="93">
    <cellStyle name="Hyperlink 2" xfId="4" xr:uid="{9F0E0A36-5624-45CF-B333-2C5AF336D0CB}"/>
    <cellStyle name="Normal" xfId="0" builtinId="0"/>
    <cellStyle name="Normal 2" xfId="9" xr:uid="{64DE6FB7-F08F-4AF0-92C4-B2D7191B5AFB}"/>
    <cellStyle name="Normal 3" xfId="1" xr:uid="{2AC8ADC4-B574-4048-8F25-6C4814CE3854}"/>
    <cellStyle name="Normal 3 10" xfId="63" xr:uid="{1966FF6E-E285-4022-8DA7-C46BB2082293}"/>
    <cellStyle name="Normal 3 2" xfId="2" xr:uid="{4FDE45D8-B2D6-4DF5-810D-A1C80F2C2624}"/>
    <cellStyle name="Normal 3 2 2" xfId="6" xr:uid="{DD0371F2-D819-4F76-AF01-DE6973D89054}"/>
    <cellStyle name="Normal 3 2 2 2" xfId="22" xr:uid="{AD511478-DE4E-4594-AA2B-053D3CF14699}"/>
    <cellStyle name="Normal 3 2 2 2 2" xfId="45" xr:uid="{BFFBC07C-F43F-49C8-8108-2F7B7B35C2D6}"/>
    <cellStyle name="Normal 3 2 2 2 3" xfId="82" xr:uid="{99945F06-A6E7-46A5-A1D4-6BB04E28A07C}"/>
    <cellStyle name="Normal 3 2 2 3" xfId="29" xr:uid="{2E34329F-AF16-46E8-88A3-844A9C85B18F}"/>
    <cellStyle name="Normal 3 2 2 3 2" xfId="59" xr:uid="{930EEC8F-7616-4142-84A8-734C80CED983}"/>
    <cellStyle name="Normal 3 2 2 3 3" xfId="89" xr:uid="{8AEC037A-79DE-4797-997B-5646698A96DD}"/>
    <cellStyle name="Normal 3 2 2 4" xfId="15" xr:uid="{AF92F15E-038A-4B0D-A506-E17CB7FB03B1}"/>
    <cellStyle name="Normal 3 2 2 4 2" xfId="52" xr:uid="{AB00E970-98CB-4BD5-81E6-830238962DFA}"/>
    <cellStyle name="Normal 3 2 2 4 3" xfId="75" xr:uid="{D39A8F61-2B98-4803-A5CB-1CBDC378C0C3}"/>
    <cellStyle name="Normal 3 2 2 5" xfId="37" xr:uid="{14F8E7C7-34B1-4CED-AE73-852D5141844F}"/>
    <cellStyle name="Normal 3 2 2 6" xfId="67" xr:uid="{79947A40-4A4B-42A5-9154-13615088B203}"/>
    <cellStyle name="Normal 3 2 3" xfId="8" xr:uid="{7FBFD532-9AD9-49B9-816A-D792BBAEDDC1}"/>
    <cellStyle name="Normal 3 2 3 2" xfId="24" xr:uid="{D9CBB665-65FE-401C-BE1D-6F0E01AEA624}"/>
    <cellStyle name="Normal 3 2 3 2 2" xfId="47" xr:uid="{A8D38E52-E30A-456B-B23C-A6B593A4BB74}"/>
    <cellStyle name="Normal 3 2 3 2 3" xfId="84" xr:uid="{9EC4C794-7F47-4662-9D58-69909D9A7861}"/>
    <cellStyle name="Normal 3 2 3 3" xfId="31" xr:uid="{AF54D02E-D4FC-48D3-A621-B99D492A2561}"/>
    <cellStyle name="Normal 3 2 3 3 2" xfId="61" xr:uid="{94E885F4-760A-42F1-B751-29CA64E2D1F9}"/>
    <cellStyle name="Normal 3 2 3 3 3" xfId="91" xr:uid="{E1A14FE5-94F2-4908-85A8-981C51E2132D}"/>
    <cellStyle name="Normal 3 2 3 4" xfId="17" xr:uid="{06F1184E-9572-478D-BE86-152A546E0406}"/>
    <cellStyle name="Normal 3 2 3 4 2" xfId="54" xr:uid="{7B04CCB4-C940-4615-8E00-8B6B7F60F6FE}"/>
    <cellStyle name="Normal 3 2 3 4 3" xfId="77" xr:uid="{B816EFDC-5610-4C73-845E-389A1CDE5D66}"/>
    <cellStyle name="Normal 3 2 3 5" xfId="39" xr:uid="{37D46F77-701F-4AF3-9B77-72767338B257}"/>
    <cellStyle name="Normal 3 2 3 6" xfId="69" xr:uid="{EC16C259-ACFF-4E99-8323-8FA730FA1B04}"/>
    <cellStyle name="Normal 3 2 4" xfId="19" xr:uid="{1CEBA441-CD3B-4230-9845-6E68CD385C6A}"/>
    <cellStyle name="Normal 3 2 4 2" xfId="42" xr:uid="{E78679ED-59EB-4084-BF8A-6141752EC818}"/>
    <cellStyle name="Normal 3 2 4 3" xfId="79" xr:uid="{94E803E4-1BCE-4F99-B1B7-308BECEF9AAF}"/>
    <cellStyle name="Normal 3 2 5" xfId="26" xr:uid="{DC30ED0B-133D-45A0-A094-FCB1B712C30E}"/>
    <cellStyle name="Normal 3 2 5 2" xfId="57" xr:uid="{77814FC2-903E-4DDA-8853-6607B15DB2BC}"/>
    <cellStyle name="Normal 3 2 5 3" xfId="86" xr:uid="{6521C73A-0B05-46A8-87F6-79448715C21B}"/>
    <cellStyle name="Normal 3 2 6" xfId="12" xr:uid="{C60E17C6-8FA9-4824-884C-0A8F579FCBF6}"/>
    <cellStyle name="Normal 3 2 6 2" xfId="49" xr:uid="{D8A8A146-BDB4-4643-B290-0624C1CE688B}"/>
    <cellStyle name="Normal 3 2 6 3" xfId="72" xr:uid="{8DF7E4CA-F63D-42EC-9956-DF7E3119C406}"/>
    <cellStyle name="Normal 3 2 7" xfId="34" xr:uid="{B1541F17-07D8-4DE1-8DF4-E78E5D1C8C44}"/>
    <cellStyle name="Normal 3 2 8" xfId="64" xr:uid="{1CF83F64-C6E2-4D62-B7DE-711A0144DDB3}"/>
    <cellStyle name="Normal 3 3" xfId="3" xr:uid="{E0647A80-D5D8-4315-A031-9DB9C6F8ED5D}"/>
    <cellStyle name="Normal 3 3 2" xfId="10" xr:uid="{FC852060-71B4-499C-B1C0-58EB48410F18}"/>
    <cellStyle name="Normal 3 3 2 2" xfId="20" xr:uid="{82B32A4B-45D8-4455-BB2D-2E2F15FB1F81}"/>
    <cellStyle name="Normal 3 3 2 2 2" xfId="55" xr:uid="{AA920DFE-4109-4C74-938E-BDB5916D41C2}"/>
    <cellStyle name="Normal 3 3 2 2 3" xfId="80" xr:uid="{07DE5778-0B2B-4235-A6E7-8B4EFA621E06}"/>
    <cellStyle name="Normal 3 3 2 3" xfId="32" xr:uid="{7A9A52F2-2B4E-4289-B974-DFAB8908FBEA}"/>
    <cellStyle name="Normal 3 3 2 3 2" xfId="92" xr:uid="{A836A928-00CF-4FF2-8E00-F040974885B2}"/>
    <cellStyle name="Normal 3 3 2 4" xfId="40" xr:uid="{D0E0DC8D-1EA2-430C-A27E-18E07251E05F}"/>
    <cellStyle name="Normal 3 3 2 5" xfId="70" xr:uid="{70D7DF5B-4E64-4E93-AE28-D87C764C1AAA}"/>
    <cellStyle name="Normal 3 3 3" xfId="27" xr:uid="{578C2477-1305-40E2-89B4-612DEC3DF26A}"/>
    <cellStyle name="Normal 3 3 3 2" xfId="43" xr:uid="{87ACBDC1-0387-4DFA-A9BE-C160A755129B}"/>
    <cellStyle name="Normal 3 3 3 3" xfId="87" xr:uid="{3A20C9F5-BD6A-418D-9696-337BD4ADC082}"/>
    <cellStyle name="Normal 3 3 4" xfId="13" xr:uid="{F88BB24C-3B0A-49A3-A27C-95DFBC034ED8}"/>
    <cellStyle name="Normal 3 3 4 2" xfId="50" xr:uid="{1AED0406-915D-450C-9179-F16F0FEF9E53}"/>
    <cellStyle name="Normal 3 3 4 3" xfId="73" xr:uid="{DA7F95E8-7E76-4040-A592-7C6AB3E96FF3}"/>
    <cellStyle name="Normal 3 3 5" xfId="35" xr:uid="{CD364575-328D-42C8-8427-1B454D98EBF8}"/>
    <cellStyle name="Normal 3 3 6" xfId="65" xr:uid="{CE61914A-3750-46EA-AA69-60F470797B2B}"/>
    <cellStyle name="Normal 3 4" xfId="5" xr:uid="{17C121DB-468B-415C-AC0B-FDBEEE65BDF4}"/>
    <cellStyle name="Normal 3 4 2" xfId="21" xr:uid="{29809A88-8033-419E-B0F9-9FCB2594E779}"/>
    <cellStyle name="Normal 3 4 2 2" xfId="44" xr:uid="{EEE5C4D8-A8D6-4D6C-923C-98376939C6A8}"/>
    <cellStyle name="Normal 3 4 2 3" xfId="81" xr:uid="{50B64FCA-D6D0-48EB-B154-32B2F535D312}"/>
    <cellStyle name="Normal 3 4 3" xfId="28" xr:uid="{F4E57804-C852-41B2-9291-1D602B9BE2A4}"/>
    <cellStyle name="Normal 3 4 3 2" xfId="58" xr:uid="{3145F037-0FB7-4761-BFDC-87C38FE43B03}"/>
    <cellStyle name="Normal 3 4 3 3" xfId="88" xr:uid="{8998FD7D-5961-4456-89AC-001DC699D033}"/>
    <cellStyle name="Normal 3 4 4" xfId="14" xr:uid="{4568E092-B1D7-47FF-9B03-F9CD0DA0EABE}"/>
    <cellStyle name="Normal 3 4 4 2" xfId="51" xr:uid="{78134D03-1B22-45C6-85BA-759D3843A6C4}"/>
    <cellStyle name="Normal 3 4 4 3" xfId="74" xr:uid="{FA515E20-FDFD-4C59-A788-ABBE4B99B851}"/>
    <cellStyle name="Normal 3 4 5" xfId="36" xr:uid="{942D16F4-9A14-4C6E-A692-40F00CDD51D3}"/>
    <cellStyle name="Normal 3 4 6" xfId="66" xr:uid="{5AFF8CC2-C91B-415C-ABA0-C9B2C04E3359}"/>
    <cellStyle name="Normal 3 5" xfId="7" xr:uid="{E2458971-F50D-438A-8CA1-2304CE67FB45}"/>
    <cellStyle name="Normal 3 5 2" xfId="23" xr:uid="{4FE791FD-49E5-40DB-A6B0-8F4DE31500C9}"/>
    <cellStyle name="Normal 3 5 2 2" xfId="46" xr:uid="{7708ED54-8C8E-4748-B21D-05AD856572D5}"/>
    <cellStyle name="Normal 3 5 2 3" xfId="83" xr:uid="{B4494B8F-CB54-4EAC-AA1C-72C7FFB85DAA}"/>
    <cellStyle name="Normal 3 5 3" xfId="30" xr:uid="{88B18014-CD4C-4303-8DAC-E5897AF80D94}"/>
    <cellStyle name="Normal 3 5 3 2" xfId="60" xr:uid="{4706D97B-B40D-4C38-8B2D-7677997DB616}"/>
    <cellStyle name="Normal 3 5 3 3" xfId="90" xr:uid="{FFDEC854-6154-4C09-A5B9-BCD302E11495}"/>
    <cellStyle name="Normal 3 5 4" xfId="16" xr:uid="{48123D96-06E5-41E1-B66F-32218739E9B2}"/>
    <cellStyle name="Normal 3 5 4 2" xfId="53" xr:uid="{C63B27CF-792E-4384-A6B4-533FA3FFA670}"/>
    <cellStyle name="Normal 3 5 4 3" xfId="76" xr:uid="{B3A34EA9-A5BB-4391-9D2E-5982DEEB59F3}"/>
    <cellStyle name="Normal 3 5 5" xfId="38" xr:uid="{AE7FDC31-FE28-4CD7-A388-E97657F5559A}"/>
    <cellStyle name="Normal 3 5 6" xfId="68" xr:uid="{1393B7C3-F33B-4683-ACDB-B54DBC6A4C74}"/>
    <cellStyle name="Normal 3 6" xfId="18" xr:uid="{B2D51DDF-8289-42E9-AABC-9D0ED225DE61}"/>
    <cellStyle name="Normal 3 6 2" xfId="41" xr:uid="{5C213CCE-E91E-4E50-9860-F99340F7AF80}"/>
    <cellStyle name="Normal 3 6 3" xfId="78" xr:uid="{751FF4B8-DC6F-48B2-A8FC-7183B208768A}"/>
    <cellStyle name="Normal 3 7" xfId="25" xr:uid="{CE1C5928-D5C7-43C7-8FC1-F883DAF99A6E}"/>
    <cellStyle name="Normal 3 7 2" xfId="56" xr:uid="{4D540C1D-6919-470A-A05C-EB66055EE3C5}"/>
    <cellStyle name="Normal 3 7 3" xfId="85" xr:uid="{940C96D4-4AA0-4A30-865E-B9A383DACCE0}"/>
    <cellStyle name="Normal 3 8" xfId="11" xr:uid="{4A3734D3-44CC-4776-9565-0FFA522E126C}"/>
    <cellStyle name="Normal 3 8 2" xfId="48" xr:uid="{F273BC17-DD31-4975-96BA-4EF330045282}"/>
    <cellStyle name="Normal 3 8 3" xfId="71" xr:uid="{2E4227AC-AE5A-45F7-BE37-023FA1C153C2}"/>
    <cellStyle name="Normal 3 9" xfId="33" xr:uid="{AB7F2A9C-EEC1-4169-9CD1-D8793C369C3D}"/>
    <cellStyle name="Normal 5" xfId="62" xr:uid="{CA013060-CE1D-47FA-A618-0D7B807D205D}"/>
  </cellStyles>
  <dxfs count="1">
    <dxf>
      <font>
        <strike val="0"/>
      </font>
      <fill>
        <patternFill>
          <bgColor rgb="FFFF0000"/>
        </patternFill>
      </fill>
    </dxf>
  </dxfs>
  <tableStyles count="0" defaultTableStyle="TableStyleMedium2" defaultPivotStyle="PivotStyleLight16"/>
  <colors>
    <mruColors>
      <color rgb="FFFCD5B4"/>
      <color rgb="FFB8CCE4"/>
      <color rgb="FFEBF1DE"/>
      <color rgb="FFC4D79B"/>
      <color rgb="FFDCE6F1"/>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0</xdr:col>
      <xdr:colOff>1697355</xdr:colOff>
      <xdr:row>2</xdr:row>
      <xdr:rowOff>79397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8575" y="9525"/>
          <a:ext cx="1668780" cy="45087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25</xdr:row>
          <xdr:rowOff>219075</xdr:rowOff>
        </xdr:from>
        <xdr:to>
          <xdr:col>0</xdr:col>
          <xdr:colOff>695325</xdr:colOff>
          <xdr:row>27</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26</xdr:row>
          <xdr:rowOff>190500</xdr:rowOff>
        </xdr:from>
        <xdr:to>
          <xdr:col>0</xdr:col>
          <xdr:colOff>695325</xdr:colOff>
          <xdr:row>28</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190500</xdr:rowOff>
        </xdr:from>
        <xdr:to>
          <xdr:col>0</xdr:col>
          <xdr:colOff>695325</xdr:colOff>
          <xdr:row>31</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190500</xdr:rowOff>
        </xdr:from>
        <xdr:to>
          <xdr:col>0</xdr:col>
          <xdr:colOff>695325</xdr:colOff>
          <xdr:row>30</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190500</xdr:rowOff>
        </xdr:from>
        <xdr:to>
          <xdr:col>0</xdr:col>
          <xdr:colOff>695325</xdr:colOff>
          <xdr:row>35</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200025</xdr:rowOff>
        </xdr:from>
        <xdr:to>
          <xdr:col>0</xdr:col>
          <xdr:colOff>695325</xdr:colOff>
          <xdr:row>36</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200025</xdr:rowOff>
        </xdr:from>
        <xdr:to>
          <xdr:col>0</xdr:col>
          <xdr:colOff>695325</xdr:colOff>
          <xdr:row>37</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xdr:row>
          <xdr:rowOff>190500</xdr:rowOff>
        </xdr:from>
        <xdr:to>
          <xdr:col>0</xdr:col>
          <xdr:colOff>695325</xdr:colOff>
          <xdr:row>29</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xdr:row>
          <xdr:rowOff>200025</xdr:rowOff>
        </xdr:from>
        <xdr:to>
          <xdr:col>0</xdr:col>
          <xdr:colOff>695325</xdr:colOff>
          <xdr:row>34</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xdr:row>
          <xdr:rowOff>200025</xdr:rowOff>
        </xdr:from>
        <xdr:to>
          <xdr:col>0</xdr:col>
          <xdr:colOff>695325</xdr:colOff>
          <xdr:row>38</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190500</xdr:rowOff>
        </xdr:from>
        <xdr:to>
          <xdr:col>0</xdr:col>
          <xdr:colOff>695325</xdr:colOff>
          <xdr:row>39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xdr:row>
          <xdr:rowOff>180975</xdr:rowOff>
        </xdr:from>
        <xdr:to>
          <xdr:col>0</xdr:col>
          <xdr:colOff>695325</xdr:colOff>
          <xdr:row>33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180975</xdr:rowOff>
        </xdr:from>
        <xdr:to>
          <xdr:col>0</xdr:col>
          <xdr:colOff>695325</xdr:colOff>
          <xdr:row>32</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topLeftCell="A3" workbookViewId="0">
      <selection activeCell="C9" sqref="C9"/>
    </sheetView>
  </sheetViews>
  <sheetFormatPr defaultColWidth="8.59765625" defaultRowHeight="15" x14ac:dyDescent="0.2"/>
  <cols>
    <col min="3" max="3" width="13.09765625" customWidth="1"/>
  </cols>
  <sheetData>
    <row r="1" spans="1:3" x14ac:dyDescent="0.2">
      <c r="A1" t="s">
        <v>112</v>
      </c>
      <c r="C1" t="s">
        <v>112</v>
      </c>
    </row>
    <row r="2" spans="1:3" x14ac:dyDescent="0.2">
      <c r="A2" t="s">
        <v>113</v>
      </c>
      <c r="C2" t="s">
        <v>113</v>
      </c>
    </row>
    <row r="3" spans="1:3" ht="21" customHeight="1" x14ac:dyDescent="0.2">
      <c r="C3" t="s">
        <v>114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ABD0-6D3C-4FBA-9799-46E227F38C64}">
  <dimension ref="A1:E23"/>
  <sheetViews>
    <sheetView zoomScaleNormal="100" workbookViewId="0">
      <selection activeCell="D1" sqref="D1"/>
    </sheetView>
  </sheetViews>
  <sheetFormatPr defaultColWidth="8.59765625" defaultRowHeight="15" customHeight="1" x14ac:dyDescent="0.2"/>
  <cols>
    <col min="1" max="1" width="19.3984375" style="41" customWidth="1"/>
    <col min="2" max="2" width="8.69921875" style="40"/>
    <col min="3" max="3" width="58.5" style="41" customWidth="1"/>
  </cols>
  <sheetData>
    <row r="1" spans="1:5" ht="15" customHeight="1" x14ac:dyDescent="0.2">
      <c r="A1" s="152"/>
      <c r="B1" s="152"/>
      <c r="C1" s="152"/>
    </row>
    <row r="2" spans="1:5" ht="15" customHeight="1" x14ac:dyDescent="0.2">
      <c r="A2" s="152"/>
      <c r="B2" s="152"/>
      <c r="C2" s="152"/>
    </row>
    <row r="3" spans="1:5" ht="15" customHeight="1" x14ac:dyDescent="0.2">
      <c r="A3" s="152"/>
      <c r="B3" s="152"/>
      <c r="C3" s="152"/>
    </row>
    <row r="4" spans="1:5" ht="15" customHeight="1" x14ac:dyDescent="0.2">
      <c r="A4" s="152"/>
      <c r="B4" s="152"/>
      <c r="C4" s="152"/>
    </row>
    <row r="5" spans="1:5" ht="15" customHeight="1" x14ac:dyDescent="0.2">
      <c r="A5" s="152"/>
      <c r="B5" s="152"/>
      <c r="C5" s="152"/>
    </row>
    <row r="6" spans="1:5" ht="31.5" x14ac:dyDescent="0.5">
      <c r="A6" s="154" t="s">
        <v>1186</v>
      </c>
      <c r="B6" s="154"/>
      <c r="C6" s="154"/>
    </row>
    <row r="7" spans="1:5" ht="15" customHeight="1" x14ac:dyDescent="0.25">
      <c r="A7" s="158" t="s">
        <v>1049</v>
      </c>
      <c r="B7" s="158"/>
      <c r="C7" s="158"/>
    </row>
    <row r="8" spans="1:5" ht="15" customHeight="1" x14ac:dyDescent="0.25">
      <c r="A8" s="158" t="s">
        <v>1040</v>
      </c>
      <c r="B8" s="158"/>
      <c r="C8" s="158"/>
    </row>
    <row r="9" spans="1:5" ht="15" customHeight="1" x14ac:dyDescent="0.25">
      <c r="A9" s="158" t="s">
        <v>1045</v>
      </c>
      <c r="B9" s="158"/>
      <c r="C9" s="158"/>
    </row>
    <row r="10" spans="1:5" ht="15" customHeight="1" x14ac:dyDescent="0.25">
      <c r="A10" s="158"/>
      <c r="B10" s="158"/>
      <c r="C10" s="158"/>
    </row>
    <row r="11" spans="1:5" x14ac:dyDescent="0.2">
      <c r="A11" s="156" t="s">
        <v>1183</v>
      </c>
      <c r="B11" s="157"/>
      <c r="C11" s="157"/>
    </row>
    <row r="12" spans="1:5" ht="61.5" customHeight="1" x14ac:dyDescent="0.2">
      <c r="A12" s="155" t="s">
        <v>1184</v>
      </c>
      <c r="B12" s="155"/>
      <c r="C12" s="155"/>
    </row>
    <row r="13" spans="1:5" ht="15" customHeight="1" x14ac:dyDescent="0.2">
      <c r="A13" s="153"/>
      <c r="B13" s="153"/>
      <c r="C13" s="153"/>
      <c r="E13" s="144"/>
    </row>
    <row r="14" spans="1:5" ht="15" customHeight="1" thickBot="1" x14ac:dyDescent="0.3">
      <c r="A14" s="151" t="s">
        <v>528</v>
      </c>
      <c r="B14" s="151"/>
      <c r="C14" s="151"/>
    </row>
    <row r="15" spans="1:5" ht="15" customHeight="1" thickBot="1" x14ac:dyDescent="0.3">
      <c r="A15" s="43" t="s">
        <v>529</v>
      </c>
      <c r="B15" s="44" t="s">
        <v>530</v>
      </c>
      <c r="C15" s="50" t="s">
        <v>539</v>
      </c>
    </row>
    <row r="16" spans="1:5" ht="15" customHeight="1" thickBot="1" x14ac:dyDescent="0.3">
      <c r="A16" s="45">
        <v>43958</v>
      </c>
      <c r="B16" s="59">
        <v>1</v>
      </c>
      <c r="C16" s="47" t="s">
        <v>541</v>
      </c>
    </row>
    <row r="17" spans="1:3" ht="15" customHeight="1" thickBot="1" x14ac:dyDescent="0.3">
      <c r="A17" s="45">
        <v>44095</v>
      </c>
      <c r="B17" s="46">
        <v>1.1000000000000001</v>
      </c>
      <c r="C17" s="51" t="s">
        <v>542</v>
      </c>
    </row>
    <row r="18" spans="1:3" ht="15" customHeight="1" thickBot="1" x14ac:dyDescent="0.25">
      <c r="A18" s="61">
        <v>44351</v>
      </c>
      <c r="B18" s="56">
        <v>2</v>
      </c>
      <c r="C18" s="88" t="s">
        <v>568</v>
      </c>
    </row>
    <row r="19" spans="1:3" ht="15" customHeight="1" thickBot="1" x14ac:dyDescent="0.25">
      <c r="A19" s="61">
        <v>44715</v>
      </c>
      <c r="B19" s="64">
        <v>3</v>
      </c>
      <c r="C19" s="88" t="s">
        <v>569</v>
      </c>
    </row>
    <row r="20" spans="1:3" ht="15" customHeight="1" thickBot="1" x14ac:dyDescent="0.25">
      <c r="A20" s="61">
        <v>45079</v>
      </c>
      <c r="B20" s="64">
        <v>4</v>
      </c>
      <c r="C20" s="88" t="s">
        <v>570</v>
      </c>
    </row>
    <row r="21" spans="1:3" ht="15" customHeight="1" thickBot="1" x14ac:dyDescent="0.25">
      <c r="A21" s="61">
        <v>45433</v>
      </c>
      <c r="B21" s="64">
        <v>5</v>
      </c>
      <c r="C21" s="88" t="s">
        <v>600</v>
      </c>
    </row>
    <row r="22" spans="1:3" ht="15" customHeight="1" thickBot="1" x14ac:dyDescent="0.25">
      <c r="A22" s="119" t="s">
        <v>1047</v>
      </c>
      <c r="B22" s="120" t="s">
        <v>1048</v>
      </c>
      <c r="C22" s="122" t="s">
        <v>1050</v>
      </c>
    </row>
    <row r="23" spans="1:3" ht="15" customHeight="1" x14ac:dyDescent="0.25">
      <c r="A23" s="85" t="s">
        <v>567</v>
      </c>
    </row>
  </sheetData>
  <mergeCells count="14">
    <mergeCell ref="A14:C14"/>
    <mergeCell ref="A1:C1"/>
    <mergeCell ref="A2:C2"/>
    <mergeCell ref="A3:C3"/>
    <mergeCell ref="A5:C5"/>
    <mergeCell ref="A4:C4"/>
    <mergeCell ref="A13:C13"/>
    <mergeCell ref="A6:C6"/>
    <mergeCell ref="A12:C12"/>
    <mergeCell ref="A11:C11"/>
    <mergeCell ref="A7:C7"/>
    <mergeCell ref="A8:C8"/>
    <mergeCell ref="A9:C9"/>
    <mergeCell ref="A10:C10"/>
  </mergeCells>
  <phoneticPr fontId="3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8587-4544-4EBB-A896-5BA8E778B22D}">
  <sheetPr>
    <tabColor rgb="FFFF0000"/>
  </sheetPr>
  <dimension ref="A1:C13"/>
  <sheetViews>
    <sheetView zoomScaleNormal="100" workbookViewId="0">
      <selection activeCell="D1" sqref="D1"/>
    </sheetView>
  </sheetViews>
  <sheetFormatPr defaultColWidth="8.59765625" defaultRowHeight="15" x14ac:dyDescent="0.2"/>
  <cols>
    <col min="1" max="1" width="19.3984375" style="41" customWidth="1"/>
    <col min="2" max="2" width="8.69921875" style="40" customWidth="1"/>
    <col min="3" max="3" width="61.8984375" style="41" customWidth="1"/>
  </cols>
  <sheetData>
    <row r="1" spans="1:3" ht="15.75" customHeight="1" x14ac:dyDescent="0.2">
      <c r="A1" s="161" t="s">
        <v>1183</v>
      </c>
      <c r="B1" s="162"/>
      <c r="C1" s="162"/>
    </row>
    <row r="2" spans="1:3" x14ac:dyDescent="0.2">
      <c r="A2" s="145" t="s">
        <v>1083</v>
      </c>
      <c r="B2" s="146"/>
      <c r="C2" s="146"/>
    </row>
    <row r="3" spans="1:3" x14ac:dyDescent="0.2">
      <c r="A3" s="160"/>
      <c r="B3" s="160"/>
      <c r="C3" s="160"/>
    </row>
    <row r="4" spans="1:3" ht="28.5" x14ac:dyDescent="0.45">
      <c r="A4" s="159" t="s">
        <v>572</v>
      </c>
      <c r="B4" s="159"/>
      <c r="C4" s="159"/>
    </row>
    <row r="5" spans="1:3" ht="15.75" thickBot="1" x14ac:dyDescent="0.3">
      <c r="A5" s="85" t="s">
        <v>571</v>
      </c>
      <c r="B5" s="42"/>
      <c r="C5" s="42"/>
    </row>
    <row r="6" spans="1:3" ht="15.75" thickBot="1" x14ac:dyDescent="0.3">
      <c r="A6" s="87" t="s">
        <v>529</v>
      </c>
      <c r="B6" s="147" t="s">
        <v>530</v>
      </c>
      <c r="C6" s="84" t="s">
        <v>1093</v>
      </c>
    </row>
    <row r="7" spans="1:3" ht="15.75" thickBot="1" x14ac:dyDescent="0.3">
      <c r="A7" s="82">
        <v>43958</v>
      </c>
      <c r="B7" s="86">
        <v>1</v>
      </c>
      <c r="C7" s="83" t="s">
        <v>541</v>
      </c>
    </row>
    <row r="8" spans="1:3" ht="15.75" thickBot="1" x14ac:dyDescent="0.3">
      <c r="A8" s="82">
        <v>44095</v>
      </c>
      <c r="B8" s="81">
        <v>1.1000000000000001</v>
      </c>
      <c r="C8" s="83" t="s">
        <v>542</v>
      </c>
    </row>
    <row r="9" spans="1:3" ht="210.75" thickBot="1" x14ac:dyDescent="0.25">
      <c r="A9" s="61">
        <v>44351</v>
      </c>
      <c r="B9" s="64">
        <v>2</v>
      </c>
      <c r="C9" s="88" t="s">
        <v>574</v>
      </c>
    </row>
    <row r="10" spans="1:3" ht="180.75" thickBot="1" x14ac:dyDescent="0.25">
      <c r="A10" s="61">
        <v>44715</v>
      </c>
      <c r="B10" s="64">
        <v>3</v>
      </c>
      <c r="C10" s="88" t="s">
        <v>579</v>
      </c>
    </row>
    <row r="11" spans="1:3" ht="255.75" thickBot="1" x14ac:dyDescent="0.25">
      <c r="A11" s="61">
        <v>45079</v>
      </c>
      <c r="B11" s="64">
        <v>4</v>
      </c>
      <c r="C11" s="88" t="s">
        <v>580</v>
      </c>
    </row>
    <row r="12" spans="1:3" ht="135.75" thickBot="1" x14ac:dyDescent="0.25">
      <c r="A12" s="61">
        <v>45433</v>
      </c>
      <c r="B12" s="64">
        <v>5</v>
      </c>
      <c r="C12" s="88" t="s">
        <v>1037</v>
      </c>
    </row>
    <row r="13" spans="1:3" ht="120.75" customHeight="1" thickBot="1" x14ac:dyDescent="0.25">
      <c r="A13" s="119" t="s">
        <v>1047</v>
      </c>
      <c r="B13" s="121" t="s">
        <v>1048</v>
      </c>
      <c r="C13" s="122" t="s">
        <v>1232</v>
      </c>
    </row>
  </sheetData>
  <mergeCells count="3">
    <mergeCell ref="A4:C4"/>
    <mergeCell ref="A3:C3"/>
    <mergeCell ref="A1:C1"/>
  </mergeCells>
  <phoneticPr fontId="3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T277"/>
  <sheetViews>
    <sheetView tabSelected="1" zoomScale="80" zoomScaleNormal="80" workbookViewId="0">
      <pane ySplit="2" topLeftCell="A3" activePane="bottomLeft" state="frozen"/>
      <selection pane="bottomLeft" activeCell="J2" sqref="J2:L2"/>
    </sheetView>
  </sheetViews>
  <sheetFormatPr defaultColWidth="6.59765625" defaultRowHeight="15" customHeight="1" x14ac:dyDescent="0.2"/>
  <cols>
    <col min="1" max="1" width="8.69921875" customWidth="1"/>
    <col min="2" max="2" width="85.5" style="1" bestFit="1" customWidth="1"/>
    <col min="3" max="3" width="15.19921875" style="5" bestFit="1" customWidth="1"/>
    <col min="4" max="4" width="9.796875" style="139" bestFit="1" customWidth="1"/>
    <col min="5" max="5" width="15.09765625" style="139" bestFit="1" customWidth="1"/>
    <col min="6" max="6" width="14.19921875" style="6" bestFit="1" customWidth="1"/>
    <col min="7" max="7" width="27.8984375" style="7" bestFit="1" customWidth="1"/>
    <col min="8" max="8" width="15.09765625" style="28" bestFit="1" customWidth="1"/>
    <col min="9" max="9" width="18" style="28" bestFit="1" customWidth="1"/>
    <col min="10" max="11" width="8.5" style="79" customWidth="1"/>
    <col min="12" max="12" width="5.8984375" style="80" bestFit="1" customWidth="1"/>
    <col min="13" max="13" width="9.296875" style="1" customWidth="1"/>
    <col min="14" max="14" width="12.5" style="1" bestFit="1" customWidth="1"/>
    <col min="15" max="15" width="13" style="1" bestFit="1" customWidth="1"/>
    <col min="16" max="16" width="7.3984375" style="1" bestFit="1" customWidth="1"/>
    <col min="17" max="17" width="6.59765625" style="1" bestFit="1" customWidth="1"/>
    <col min="18" max="18" width="7.59765625" style="1" bestFit="1" customWidth="1"/>
    <col min="19" max="20" width="13" style="1" customWidth="1"/>
    <col min="21" max="21" width="9.3984375" style="1" customWidth="1"/>
    <col min="22" max="22" width="12.59765625" style="1" customWidth="1"/>
    <col min="23" max="176" width="6.59765625" style="1" customWidth="1"/>
  </cols>
  <sheetData>
    <row r="1" spans="1:12" ht="62.25" customHeight="1" x14ac:dyDescent="0.2">
      <c r="A1" s="212" t="s">
        <v>1185</v>
      </c>
      <c r="B1" s="212"/>
      <c r="C1" s="212"/>
      <c r="D1" s="212"/>
      <c r="E1" s="212"/>
      <c r="F1" s="212"/>
      <c r="G1" s="89" t="s">
        <v>1046</v>
      </c>
      <c r="H1" s="118" t="s">
        <v>1044</v>
      </c>
      <c r="I1" s="27"/>
      <c r="J1" s="65" t="s">
        <v>562</v>
      </c>
      <c r="K1" s="66" t="s">
        <v>563</v>
      </c>
      <c r="L1" s="67" t="s">
        <v>564</v>
      </c>
    </row>
    <row r="2" spans="1:12" ht="29.1" customHeight="1" x14ac:dyDescent="0.2">
      <c r="A2" s="184" t="s">
        <v>536</v>
      </c>
      <c r="B2" s="185"/>
      <c r="C2" s="218" t="s">
        <v>0</v>
      </c>
      <c r="D2" s="219"/>
      <c r="E2" s="219"/>
      <c r="F2" s="219"/>
      <c r="G2" s="219"/>
      <c r="H2" s="219"/>
      <c r="I2" s="220"/>
      <c r="J2" s="165"/>
      <c r="K2" s="166"/>
      <c r="L2" s="167"/>
    </row>
    <row r="3" spans="1:12" ht="36" customHeight="1" x14ac:dyDescent="0.2">
      <c r="A3" s="186" t="s">
        <v>1</v>
      </c>
      <c r="B3" s="187"/>
      <c r="C3" s="187"/>
      <c r="D3" s="187"/>
      <c r="E3" s="187"/>
      <c r="F3" s="187"/>
      <c r="G3" s="187"/>
      <c r="H3" s="187"/>
      <c r="I3" s="188"/>
      <c r="J3" s="68"/>
      <c r="K3" s="69"/>
      <c r="L3" s="70"/>
    </row>
    <row r="4" spans="1:12" ht="259.5" customHeight="1" x14ac:dyDescent="0.2">
      <c r="A4" s="221" t="s">
        <v>1187</v>
      </c>
      <c r="B4" s="222"/>
      <c r="C4" s="222"/>
      <c r="D4" s="222"/>
      <c r="E4" s="222"/>
      <c r="F4" s="222"/>
      <c r="G4" s="222"/>
      <c r="H4" s="222"/>
      <c r="I4" s="223"/>
      <c r="J4" s="71"/>
      <c r="K4" s="72"/>
      <c r="L4" s="140"/>
    </row>
    <row r="5" spans="1:12" ht="24" customHeight="1" x14ac:dyDescent="0.2">
      <c r="A5" s="215" t="s">
        <v>508</v>
      </c>
      <c r="B5" s="216"/>
      <c r="C5" s="216"/>
      <c r="D5" s="216"/>
      <c r="E5" s="216"/>
      <c r="F5" s="216"/>
      <c r="G5" s="216"/>
      <c r="H5" s="216"/>
      <c r="I5" s="217"/>
      <c r="J5" s="226" t="s">
        <v>565</v>
      </c>
      <c r="K5" s="226"/>
      <c r="L5" s="73">
        <f>SUM(L46,L61,L77,L91,L121,L142,L157,L182,L208,L221,L232,L259,L276)</f>
        <v>0</v>
      </c>
    </row>
    <row r="6" spans="1:12" ht="17.25" customHeight="1" x14ac:dyDescent="0.2">
      <c r="A6" s="20" t="s">
        <v>2</v>
      </c>
      <c r="B6" s="32" t="s">
        <v>511</v>
      </c>
      <c r="C6" s="207" t="s">
        <v>511</v>
      </c>
      <c r="D6" s="208"/>
      <c r="E6" s="208"/>
      <c r="F6" s="208"/>
      <c r="G6" s="208"/>
      <c r="H6" s="208"/>
      <c r="I6" s="209"/>
      <c r="J6" s="71"/>
      <c r="K6" s="72"/>
      <c r="L6" s="140"/>
    </row>
    <row r="7" spans="1:12" ht="22.35" customHeight="1" x14ac:dyDescent="0.2">
      <c r="A7" s="20" t="s">
        <v>3</v>
      </c>
      <c r="B7" s="32" t="s">
        <v>512</v>
      </c>
      <c r="C7" s="207" t="s">
        <v>513</v>
      </c>
      <c r="D7" s="208"/>
      <c r="E7" s="208"/>
      <c r="F7" s="208"/>
      <c r="G7" s="208"/>
      <c r="H7" s="208"/>
      <c r="I7" s="209"/>
      <c r="J7" s="71"/>
      <c r="K7" s="72"/>
      <c r="L7" s="140"/>
    </row>
    <row r="8" spans="1:12" ht="22.35" customHeight="1" x14ac:dyDescent="0.2">
      <c r="A8" s="20" t="s">
        <v>4</v>
      </c>
      <c r="B8" s="32" t="s">
        <v>353</v>
      </c>
      <c r="C8" s="204" t="s">
        <v>353</v>
      </c>
      <c r="D8" s="210"/>
      <c r="E8" s="210"/>
      <c r="F8" s="210"/>
      <c r="G8" s="210"/>
      <c r="H8" s="210"/>
      <c r="I8" s="211"/>
      <c r="J8" s="71"/>
      <c r="K8" s="72"/>
      <c r="L8" s="140"/>
    </row>
    <row r="9" spans="1:12" ht="22.35" customHeight="1" x14ac:dyDescent="0.2">
      <c r="A9" s="20" t="s">
        <v>5</v>
      </c>
      <c r="B9" s="32" t="s">
        <v>354</v>
      </c>
      <c r="C9" s="204" t="s">
        <v>354</v>
      </c>
      <c r="D9" s="205"/>
      <c r="E9" s="205"/>
      <c r="F9" s="205"/>
      <c r="G9" s="205"/>
      <c r="H9" s="205"/>
      <c r="I9" s="206"/>
      <c r="J9" s="71"/>
      <c r="K9" s="72"/>
      <c r="L9" s="140"/>
    </row>
    <row r="10" spans="1:12" ht="22.35" customHeight="1" x14ac:dyDescent="0.2">
      <c r="A10" s="20" t="s">
        <v>7</v>
      </c>
      <c r="B10" s="32" t="s">
        <v>355</v>
      </c>
      <c r="C10" s="204" t="s">
        <v>355</v>
      </c>
      <c r="D10" s="205"/>
      <c r="E10" s="205"/>
      <c r="F10" s="205"/>
      <c r="G10" s="205"/>
      <c r="H10" s="205"/>
      <c r="I10" s="206"/>
      <c r="J10" s="71"/>
      <c r="K10" s="72"/>
      <c r="L10" s="140"/>
    </row>
    <row r="11" spans="1:12" ht="22.35" customHeight="1" x14ac:dyDescent="0.2">
      <c r="A11" s="20" t="s">
        <v>8</v>
      </c>
      <c r="B11" s="32" t="s">
        <v>356</v>
      </c>
      <c r="C11" s="204" t="s">
        <v>356</v>
      </c>
      <c r="D11" s="205"/>
      <c r="E11" s="205"/>
      <c r="F11" s="205"/>
      <c r="G11" s="205"/>
      <c r="H11" s="205"/>
      <c r="I11" s="206"/>
      <c r="J11" s="71"/>
      <c r="K11" s="72"/>
      <c r="L11" s="140"/>
    </row>
    <row r="12" spans="1:12" ht="22.35" customHeight="1" x14ac:dyDescent="0.2">
      <c r="A12" s="20" t="s">
        <v>9</v>
      </c>
      <c r="B12" s="32" t="s">
        <v>121</v>
      </c>
      <c r="C12" s="204" t="s">
        <v>122</v>
      </c>
      <c r="D12" s="205"/>
      <c r="E12" s="205"/>
      <c r="F12" s="205"/>
      <c r="G12" s="205"/>
      <c r="H12" s="205"/>
      <c r="I12" s="206"/>
      <c r="J12" s="71"/>
      <c r="K12" s="72"/>
      <c r="L12" s="140"/>
    </row>
    <row r="13" spans="1:12" ht="22.35" customHeight="1" x14ac:dyDescent="0.2">
      <c r="A13" s="20" t="s">
        <v>10</v>
      </c>
      <c r="B13" s="32" t="s">
        <v>123</v>
      </c>
      <c r="C13" s="204" t="s">
        <v>124</v>
      </c>
      <c r="D13" s="205"/>
      <c r="E13" s="205"/>
      <c r="F13" s="205"/>
      <c r="G13" s="205"/>
      <c r="H13" s="205"/>
      <c r="I13" s="206"/>
      <c r="J13" s="71"/>
      <c r="K13" s="72"/>
      <c r="L13" s="140"/>
    </row>
    <row r="14" spans="1:12" ht="22.35" customHeight="1" x14ac:dyDescent="0.2">
      <c r="A14" s="20" t="s">
        <v>12</v>
      </c>
      <c r="B14" s="32" t="s">
        <v>6</v>
      </c>
      <c r="C14" s="204" t="s">
        <v>509</v>
      </c>
      <c r="D14" s="205"/>
      <c r="E14" s="205"/>
      <c r="F14" s="205"/>
      <c r="G14" s="205"/>
      <c r="H14" s="205"/>
      <c r="I14" s="206"/>
      <c r="J14" s="71"/>
      <c r="K14" s="72"/>
      <c r="L14" s="140"/>
    </row>
    <row r="15" spans="1:12" ht="22.35" customHeight="1" x14ac:dyDescent="0.2">
      <c r="A15" s="20" t="s">
        <v>13</v>
      </c>
      <c r="B15" s="32" t="s">
        <v>514</v>
      </c>
      <c r="C15" s="204" t="s">
        <v>133</v>
      </c>
      <c r="D15" s="205"/>
      <c r="E15" s="205"/>
      <c r="F15" s="205"/>
      <c r="G15" s="205"/>
      <c r="H15" s="205"/>
      <c r="I15" s="206"/>
      <c r="J15" s="71"/>
      <c r="K15" s="72"/>
      <c r="L15" s="140"/>
    </row>
    <row r="16" spans="1:12" ht="22.35" customHeight="1" x14ac:dyDescent="0.2">
      <c r="A16" s="20" t="s">
        <v>14</v>
      </c>
      <c r="B16" s="32" t="s">
        <v>515</v>
      </c>
      <c r="C16" s="204" t="s">
        <v>130</v>
      </c>
      <c r="D16" s="205"/>
      <c r="E16" s="205"/>
      <c r="F16" s="205"/>
      <c r="G16" s="205"/>
      <c r="H16" s="205"/>
      <c r="I16" s="206"/>
      <c r="J16" s="71"/>
      <c r="K16" s="72"/>
      <c r="L16" s="140"/>
    </row>
    <row r="17" spans="1:12" ht="31.5" customHeight="1" x14ac:dyDescent="0.2">
      <c r="A17" s="20" t="s">
        <v>15</v>
      </c>
      <c r="B17" s="32" t="s">
        <v>357</v>
      </c>
      <c r="C17" s="204" t="s">
        <v>578</v>
      </c>
      <c r="D17" s="205"/>
      <c r="E17" s="205"/>
      <c r="F17" s="205"/>
      <c r="G17" s="205"/>
      <c r="H17" s="205"/>
      <c r="I17" s="206"/>
      <c r="J17" s="71"/>
      <c r="K17" s="72"/>
      <c r="L17" s="140"/>
    </row>
    <row r="18" spans="1:12" ht="22.35" customHeight="1" x14ac:dyDescent="0.2">
      <c r="A18" s="20" t="s">
        <v>358</v>
      </c>
      <c r="B18" s="32" t="s">
        <v>516</v>
      </c>
      <c r="C18" s="204" t="s">
        <v>517</v>
      </c>
      <c r="D18" s="205"/>
      <c r="E18" s="205"/>
      <c r="F18" s="205"/>
      <c r="G18" s="205"/>
      <c r="H18" s="205"/>
      <c r="I18" s="206"/>
      <c r="J18" s="71"/>
      <c r="K18" s="72"/>
      <c r="L18" s="140"/>
    </row>
    <row r="19" spans="1:12" ht="22.35" customHeight="1" x14ac:dyDescent="0.2">
      <c r="A19" s="20" t="s">
        <v>359</v>
      </c>
      <c r="B19" s="32" t="s">
        <v>518</v>
      </c>
      <c r="C19" s="204" t="s">
        <v>518</v>
      </c>
      <c r="D19" s="205"/>
      <c r="E19" s="205"/>
      <c r="F19" s="205"/>
      <c r="G19" s="205"/>
      <c r="H19" s="205"/>
      <c r="I19" s="206"/>
      <c r="J19" s="71"/>
      <c r="K19" s="72"/>
      <c r="L19" s="140"/>
    </row>
    <row r="20" spans="1:12" ht="22.35" customHeight="1" x14ac:dyDescent="0.2">
      <c r="A20" s="20" t="s">
        <v>360</v>
      </c>
      <c r="B20" s="32" t="s">
        <v>519</v>
      </c>
      <c r="C20" s="204" t="s">
        <v>520</v>
      </c>
      <c r="D20" s="205"/>
      <c r="E20" s="205"/>
      <c r="F20" s="205"/>
      <c r="G20" s="205"/>
      <c r="H20" s="205"/>
      <c r="I20" s="206"/>
      <c r="J20" s="71"/>
      <c r="K20" s="72"/>
      <c r="L20" s="140"/>
    </row>
    <row r="21" spans="1:12" ht="22.35" customHeight="1" x14ac:dyDescent="0.2">
      <c r="A21" s="20" t="s">
        <v>361</v>
      </c>
      <c r="B21" s="32" t="s">
        <v>521</v>
      </c>
      <c r="C21" s="207" t="s">
        <v>521</v>
      </c>
      <c r="D21" s="208"/>
      <c r="E21" s="208"/>
      <c r="F21" s="208"/>
      <c r="G21" s="208"/>
      <c r="H21" s="208"/>
      <c r="I21" s="209"/>
      <c r="J21" s="71"/>
      <c r="K21" s="72"/>
      <c r="L21" s="140"/>
    </row>
    <row r="22" spans="1:12" ht="22.35" customHeight="1" x14ac:dyDescent="0.2">
      <c r="A22" s="20" t="s">
        <v>362</v>
      </c>
      <c r="B22" s="32" t="s">
        <v>522</v>
      </c>
      <c r="C22" s="207" t="s">
        <v>522</v>
      </c>
      <c r="D22" s="208"/>
      <c r="E22" s="208"/>
      <c r="F22" s="208"/>
      <c r="G22" s="208"/>
      <c r="H22" s="208"/>
      <c r="I22" s="209"/>
      <c r="J22" s="71"/>
      <c r="K22" s="72"/>
      <c r="L22" s="140"/>
    </row>
    <row r="23" spans="1:12" ht="22.35" customHeight="1" x14ac:dyDescent="0.2">
      <c r="A23" s="20" t="s">
        <v>363</v>
      </c>
      <c r="B23" s="32" t="s">
        <v>523</v>
      </c>
      <c r="C23" s="207" t="s">
        <v>524</v>
      </c>
      <c r="D23" s="208"/>
      <c r="E23" s="208"/>
      <c r="F23" s="208"/>
      <c r="G23" s="208"/>
      <c r="H23" s="208"/>
      <c r="I23" s="209"/>
      <c r="J23" s="71"/>
      <c r="K23" s="72"/>
      <c r="L23" s="140"/>
    </row>
    <row r="24" spans="1:12" ht="22.35" customHeight="1" x14ac:dyDescent="0.2">
      <c r="A24" s="20" t="s">
        <v>364</v>
      </c>
      <c r="B24" s="32" t="s">
        <v>525</v>
      </c>
      <c r="C24" s="207" t="s">
        <v>11</v>
      </c>
      <c r="D24" s="208"/>
      <c r="E24" s="208"/>
      <c r="F24" s="208"/>
      <c r="G24" s="208"/>
      <c r="H24" s="208"/>
      <c r="I24" s="209"/>
      <c r="J24" s="71"/>
      <c r="K24" s="72"/>
      <c r="L24" s="140"/>
    </row>
    <row r="25" spans="1:12" s="1" customFormat="1" ht="22.35" customHeight="1" x14ac:dyDescent="0.2">
      <c r="A25" s="215" t="s">
        <v>1188</v>
      </c>
      <c r="B25" s="216"/>
      <c r="C25" s="216"/>
      <c r="D25" s="216"/>
      <c r="E25" s="216"/>
      <c r="F25" s="216"/>
      <c r="G25" s="216"/>
      <c r="H25" s="216"/>
      <c r="I25" s="217"/>
      <c r="J25" s="71"/>
      <c r="K25" s="72"/>
      <c r="L25" s="140"/>
    </row>
    <row r="26" spans="1:12" s="1" customFormat="1" ht="22.35" customHeight="1" x14ac:dyDescent="0.2">
      <c r="A26" s="213" t="s">
        <v>1189</v>
      </c>
      <c r="B26" s="213"/>
      <c r="C26" s="213"/>
      <c r="D26" s="213"/>
      <c r="E26" s="213"/>
      <c r="F26" s="213"/>
      <c r="G26" s="213"/>
      <c r="H26" s="29"/>
      <c r="I26" s="30"/>
      <c r="J26" s="71"/>
      <c r="K26" s="72"/>
      <c r="L26" s="140"/>
    </row>
    <row r="27" spans="1:12" s="1" customFormat="1" ht="20.100000000000001" customHeight="1" x14ac:dyDescent="0.2">
      <c r="A27" s="8"/>
      <c r="B27" s="9" t="s">
        <v>91</v>
      </c>
      <c r="C27" s="9"/>
      <c r="D27" s="131"/>
      <c r="E27" s="131"/>
      <c r="F27" s="9"/>
      <c r="G27" s="9"/>
      <c r="H27" s="9"/>
      <c r="I27" s="26"/>
      <c r="J27" s="71"/>
      <c r="K27" s="72"/>
      <c r="L27" s="140"/>
    </row>
    <row r="28" spans="1:12" s="1" customFormat="1" ht="20.100000000000001" customHeight="1" x14ac:dyDescent="0.2">
      <c r="A28" s="8"/>
      <c r="B28" s="9" t="s">
        <v>92</v>
      </c>
      <c r="C28" s="9"/>
      <c r="D28" s="131"/>
      <c r="E28" s="131"/>
      <c r="F28" s="9"/>
      <c r="G28" s="9"/>
      <c r="H28" s="9"/>
      <c r="I28" s="26"/>
      <c r="J28" s="71"/>
      <c r="K28" s="72"/>
      <c r="L28" s="140"/>
    </row>
    <row r="29" spans="1:12" s="1" customFormat="1" ht="20.100000000000001" customHeight="1" x14ac:dyDescent="0.2">
      <c r="A29" s="8"/>
      <c r="B29" s="9" t="s">
        <v>93</v>
      </c>
      <c r="C29" s="9"/>
      <c r="D29" s="131"/>
      <c r="E29" s="131"/>
      <c r="F29" s="9"/>
      <c r="G29" s="9"/>
      <c r="H29" s="9"/>
      <c r="I29" s="26"/>
      <c r="J29" s="71"/>
      <c r="K29" s="72"/>
      <c r="L29" s="140"/>
    </row>
    <row r="30" spans="1:12" s="1" customFormat="1" ht="20.100000000000001" customHeight="1" x14ac:dyDescent="0.2">
      <c r="A30" s="8"/>
      <c r="B30" s="57" t="s">
        <v>545</v>
      </c>
      <c r="C30" s="9"/>
      <c r="D30" s="131"/>
      <c r="E30" s="131"/>
      <c r="F30" s="9"/>
      <c r="G30" s="9"/>
      <c r="H30" s="9"/>
      <c r="I30" s="26"/>
      <c r="J30" s="71"/>
      <c r="K30" s="72"/>
      <c r="L30" s="140"/>
    </row>
    <row r="31" spans="1:12" s="1" customFormat="1" ht="20.100000000000001" customHeight="1" x14ac:dyDescent="0.2">
      <c r="A31" s="8"/>
      <c r="B31" s="57" t="s">
        <v>575</v>
      </c>
      <c r="C31" s="9"/>
      <c r="D31" s="131"/>
      <c r="E31" s="131"/>
      <c r="F31" s="9"/>
      <c r="G31" s="9"/>
      <c r="H31" s="9"/>
      <c r="I31" s="26"/>
      <c r="J31" s="71"/>
      <c r="K31" s="72"/>
      <c r="L31" s="140"/>
    </row>
    <row r="32" spans="1:12" s="1" customFormat="1" ht="20.100000000000001" customHeight="1" x14ac:dyDescent="0.2">
      <c r="A32" s="8"/>
      <c r="B32" s="57" t="s">
        <v>543</v>
      </c>
      <c r="C32" s="9"/>
      <c r="D32" s="131"/>
      <c r="E32" s="131"/>
      <c r="F32" s="9"/>
      <c r="G32" s="9"/>
      <c r="H32" s="9"/>
      <c r="I32" s="26"/>
      <c r="J32" s="71"/>
      <c r="K32" s="72"/>
      <c r="L32" s="140"/>
    </row>
    <row r="33" spans="1:22" s="1" customFormat="1" ht="20.100000000000001" customHeight="1" x14ac:dyDescent="0.2">
      <c r="A33" s="8"/>
      <c r="B33" s="57" t="s">
        <v>550</v>
      </c>
      <c r="C33" s="9"/>
      <c r="D33" s="131"/>
      <c r="E33" s="131"/>
      <c r="F33" s="9"/>
      <c r="G33" s="9"/>
      <c r="H33" s="9"/>
      <c r="I33" s="26"/>
      <c r="J33" s="71"/>
      <c r="K33" s="72"/>
      <c r="L33" s="140"/>
    </row>
    <row r="34" spans="1:22" s="1" customFormat="1" ht="20.100000000000001" customHeight="1" x14ac:dyDescent="0.2">
      <c r="A34" s="8"/>
      <c r="B34" s="9" t="s">
        <v>465</v>
      </c>
      <c r="C34" s="9"/>
      <c r="D34" s="131"/>
      <c r="E34" s="131"/>
      <c r="F34" s="9"/>
      <c r="G34" s="9"/>
      <c r="H34" s="9"/>
      <c r="I34" s="26"/>
      <c r="J34" s="71"/>
      <c r="K34" s="72"/>
      <c r="L34" s="140"/>
    </row>
    <row r="35" spans="1:22" s="1" customFormat="1" ht="20.100000000000001" customHeight="1" x14ac:dyDescent="0.2">
      <c r="A35" s="8"/>
      <c r="B35" s="9" t="s">
        <v>94</v>
      </c>
      <c r="C35" s="9"/>
      <c r="D35" s="131"/>
      <c r="E35" s="131"/>
      <c r="F35" s="9"/>
      <c r="G35" s="9"/>
      <c r="H35" s="9"/>
      <c r="I35" s="26"/>
      <c r="J35" s="71"/>
      <c r="K35" s="72"/>
      <c r="L35" s="140"/>
    </row>
    <row r="36" spans="1:22" s="1" customFormat="1" ht="20.100000000000001" customHeight="1" x14ac:dyDescent="0.2">
      <c r="A36" s="8"/>
      <c r="B36" s="9" t="s">
        <v>95</v>
      </c>
      <c r="C36" s="9"/>
      <c r="D36" s="131"/>
      <c r="E36" s="131"/>
      <c r="F36" s="9"/>
      <c r="G36" s="9"/>
      <c r="H36" s="9"/>
      <c r="I36" s="26"/>
      <c r="J36" s="71"/>
      <c r="K36" s="72"/>
      <c r="L36" s="140"/>
    </row>
    <row r="37" spans="1:22" s="1" customFormat="1" ht="20.100000000000001" customHeight="1" x14ac:dyDescent="0.2">
      <c r="A37" s="8"/>
      <c r="B37" s="9" t="s">
        <v>96</v>
      </c>
      <c r="C37" s="9"/>
      <c r="D37" s="131"/>
      <c r="E37" s="131"/>
      <c r="F37" s="9"/>
      <c r="G37" s="9"/>
      <c r="H37" s="9"/>
      <c r="I37" s="26"/>
      <c r="J37" s="71"/>
      <c r="K37" s="72"/>
      <c r="L37" s="140"/>
    </row>
    <row r="38" spans="1:22" s="1" customFormat="1" ht="20.100000000000001" customHeight="1" x14ac:dyDescent="0.2">
      <c r="A38" s="8"/>
      <c r="B38" s="9" t="s">
        <v>466</v>
      </c>
      <c r="C38" s="9"/>
      <c r="D38" s="131"/>
      <c r="E38" s="131"/>
      <c r="F38" s="9"/>
      <c r="G38" s="9"/>
      <c r="H38" s="9"/>
      <c r="I38" s="26"/>
      <c r="J38" s="71"/>
      <c r="K38" s="72"/>
      <c r="L38" s="140"/>
    </row>
    <row r="39" spans="1:22" s="1" customFormat="1" ht="20.100000000000001" customHeight="1" x14ac:dyDescent="0.2">
      <c r="A39" s="8"/>
      <c r="B39" s="214" t="s">
        <v>540</v>
      </c>
      <c r="C39" s="214"/>
      <c r="D39" s="214"/>
      <c r="E39" s="214"/>
      <c r="F39" s="214"/>
      <c r="G39" s="214"/>
      <c r="H39" s="9"/>
      <c r="I39" s="26"/>
      <c r="J39" s="71"/>
      <c r="K39" s="72"/>
      <c r="L39" s="140"/>
    </row>
    <row r="40" spans="1:22" s="1" customFormat="1" ht="46.5" customHeight="1" x14ac:dyDescent="0.2">
      <c r="A40" s="197" t="s">
        <v>467</v>
      </c>
      <c r="B40" s="198"/>
      <c r="C40" s="189"/>
      <c r="D40" s="189"/>
      <c r="E40" s="189"/>
      <c r="F40" s="189"/>
      <c r="G40" s="189"/>
      <c r="H40" s="189"/>
      <c r="I40" s="189"/>
      <c r="J40" s="71"/>
      <c r="K40" s="72"/>
      <c r="L40" s="140"/>
    </row>
    <row r="41" spans="1:22" s="1" customFormat="1" ht="42" customHeight="1" x14ac:dyDescent="0.2">
      <c r="A41" s="199" t="s">
        <v>111</v>
      </c>
      <c r="B41" s="200"/>
      <c r="C41" s="189"/>
      <c r="D41" s="189"/>
      <c r="E41" s="189"/>
      <c r="F41" s="189"/>
      <c r="G41" s="189"/>
      <c r="H41" s="189"/>
      <c r="I41" s="189"/>
      <c r="J41" s="71"/>
      <c r="K41" s="72"/>
      <c r="L41" s="140"/>
    </row>
    <row r="42" spans="1:22" s="1" customFormat="1" ht="36" customHeight="1" x14ac:dyDescent="0.2">
      <c r="A42" s="186" t="s">
        <v>16</v>
      </c>
      <c r="B42" s="187"/>
      <c r="C42" s="187"/>
      <c r="D42" s="187"/>
      <c r="E42" s="187"/>
      <c r="F42" s="187"/>
      <c r="G42" s="187"/>
      <c r="H42" s="187"/>
      <c r="I42" s="188"/>
      <c r="J42" s="71"/>
      <c r="K42" s="72"/>
      <c r="L42" s="140"/>
    </row>
    <row r="43" spans="1:22" s="1" customFormat="1" ht="138" customHeight="1" x14ac:dyDescent="0.2">
      <c r="A43" s="191" t="s">
        <v>1233</v>
      </c>
      <c r="B43" s="192"/>
      <c r="C43" s="192"/>
      <c r="D43" s="192"/>
      <c r="E43" s="192"/>
      <c r="F43" s="192"/>
      <c r="G43" s="192"/>
      <c r="H43" s="192"/>
      <c r="I43" s="193"/>
      <c r="J43" s="71"/>
      <c r="K43" s="72"/>
      <c r="L43" s="140"/>
    </row>
    <row r="44" spans="1:22" s="1" customFormat="1" ht="87.75" customHeight="1" x14ac:dyDescent="0.2">
      <c r="A44" s="194"/>
      <c r="B44" s="195"/>
      <c r="C44" s="195"/>
      <c r="D44" s="195"/>
      <c r="E44" s="195"/>
      <c r="F44" s="195"/>
      <c r="G44" s="195"/>
      <c r="H44" s="195"/>
      <c r="I44" s="196"/>
      <c r="J44" s="71"/>
      <c r="K44" s="72"/>
      <c r="L44" s="140"/>
      <c r="M44" s="168" t="s">
        <v>1039</v>
      </c>
      <c r="N44" s="169"/>
      <c r="O44" s="170"/>
      <c r="P44" s="174" t="s">
        <v>608</v>
      </c>
      <c r="Q44" s="175"/>
      <c r="R44" s="175"/>
      <c r="S44" s="176"/>
      <c r="T44" s="180" t="s">
        <v>609</v>
      </c>
      <c r="U44" s="182" t="s">
        <v>612</v>
      </c>
      <c r="V44" s="163" t="s">
        <v>614</v>
      </c>
    </row>
    <row r="45" spans="1:22" s="1" customFormat="1" ht="24.75" customHeight="1" x14ac:dyDescent="0.2">
      <c r="A45" s="201" t="s">
        <v>1084</v>
      </c>
      <c r="B45" s="201"/>
      <c r="C45" s="202" t="s">
        <v>1085</v>
      </c>
      <c r="D45" s="203"/>
      <c r="E45" s="203"/>
      <c r="F45" s="203"/>
      <c r="G45" s="124"/>
      <c r="H45" s="124"/>
      <c r="I45" s="125"/>
      <c r="J45" s="71"/>
      <c r="K45" s="72"/>
      <c r="L45" s="140"/>
      <c r="M45" s="171"/>
      <c r="N45" s="172"/>
      <c r="O45" s="173"/>
      <c r="P45" s="177"/>
      <c r="Q45" s="178"/>
      <c r="R45" s="178"/>
      <c r="S45" s="179"/>
      <c r="T45" s="181"/>
      <c r="U45" s="183"/>
      <c r="V45" s="164"/>
    </row>
    <row r="46" spans="1:22" s="1" customFormat="1" ht="108" x14ac:dyDescent="0.2">
      <c r="A46" s="190" t="s">
        <v>19</v>
      </c>
      <c r="B46" s="190"/>
      <c r="C46" s="141" t="str">
        <f>"Response for " &amp; C45</f>
        <v>Response for Supplier Systems</v>
      </c>
      <c r="D46" s="132" t="s">
        <v>526</v>
      </c>
      <c r="E46" s="132" t="s">
        <v>99</v>
      </c>
      <c r="F46" s="2" t="s">
        <v>17</v>
      </c>
      <c r="G46" s="2" t="s">
        <v>18</v>
      </c>
      <c r="H46" s="2" t="s">
        <v>339</v>
      </c>
      <c r="I46" s="2" t="s">
        <v>365</v>
      </c>
      <c r="J46" s="224" t="s">
        <v>566</v>
      </c>
      <c r="K46" s="225"/>
      <c r="L46" s="74">
        <f>SUM(L47:L60)</f>
        <v>0</v>
      </c>
      <c r="M46" s="94" t="s">
        <v>602</v>
      </c>
      <c r="N46" s="94" t="s">
        <v>603</v>
      </c>
      <c r="O46" s="94" t="s">
        <v>604</v>
      </c>
      <c r="P46" s="95" t="s">
        <v>605</v>
      </c>
      <c r="Q46" s="95" t="s">
        <v>606</v>
      </c>
      <c r="R46" s="95" t="s">
        <v>607</v>
      </c>
      <c r="S46" s="96" t="s">
        <v>1086</v>
      </c>
      <c r="T46" s="97" t="s">
        <v>610</v>
      </c>
      <c r="U46" s="95" t="s">
        <v>613</v>
      </c>
      <c r="V46" s="95" t="s">
        <v>617</v>
      </c>
    </row>
    <row r="47" spans="1:22" s="1" customFormat="1" ht="57" x14ac:dyDescent="0.2">
      <c r="A47" s="91" t="s">
        <v>159</v>
      </c>
      <c r="B47" s="14" t="s">
        <v>1191</v>
      </c>
      <c r="C47" s="25"/>
      <c r="D47" s="133"/>
      <c r="E47" s="134"/>
      <c r="F47" s="15"/>
      <c r="G47" s="52" t="s">
        <v>366</v>
      </c>
      <c r="H47" s="33">
        <v>22</v>
      </c>
      <c r="I47" s="34" t="s">
        <v>367</v>
      </c>
      <c r="J47" s="75"/>
      <c r="K47" s="75"/>
      <c r="L47" s="76">
        <f t="shared" ref="L47:L60" si="0">J47*K47</f>
        <v>0</v>
      </c>
      <c r="M47" s="98"/>
      <c r="N47" s="98"/>
      <c r="O47" s="98"/>
      <c r="P47" s="99"/>
      <c r="Q47" s="99"/>
      <c r="R47" s="99"/>
      <c r="S47" s="99"/>
      <c r="T47" s="99" t="s">
        <v>611</v>
      </c>
      <c r="U47" s="100" t="s">
        <v>615</v>
      </c>
      <c r="V47" s="101" t="s">
        <v>618</v>
      </c>
    </row>
    <row r="48" spans="1:22" s="1" customFormat="1" ht="42.75" x14ac:dyDescent="0.25">
      <c r="A48" s="91" t="s">
        <v>22</v>
      </c>
      <c r="B48" s="35" t="s">
        <v>20</v>
      </c>
      <c r="C48" s="13"/>
      <c r="D48" s="135"/>
      <c r="E48" s="135"/>
      <c r="F48" s="13"/>
      <c r="G48" s="52" t="s">
        <v>21</v>
      </c>
      <c r="H48" s="33"/>
      <c r="I48" s="34"/>
      <c r="J48" s="75"/>
      <c r="K48" s="75"/>
      <c r="L48" s="76">
        <f t="shared" si="0"/>
        <v>0</v>
      </c>
      <c r="M48" s="102"/>
      <c r="N48" s="102"/>
      <c r="O48" s="102"/>
      <c r="P48" s="103"/>
      <c r="Q48" s="103"/>
      <c r="R48" s="103"/>
      <c r="S48" s="103"/>
      <c r="T48" s="103"/>
      <c r="U48" s="104"/>
      <c r="V48" s="105"/>
    </row>
    <row r="49" spans="1:176" s="1" customFormat="1" ht="42.75" x14ac:dyDescent="0.25">
      <c r="A49" s="91" t="s">
        <v>23</v>
      </c>
      <c r="B49" s="35" t="s">
        <v>368</v>
      </c>
      <c r="C49" s="13"/>
      <c r="D49" s="135"/>
      <c r="E49" s="135"/>
      <c r="F49" s="13"/>
      <c r="G49" s="52" t="s">
        <v>21</v>
      </c>
      <c r="H49" s="33"/>
      <c r="I49" s="34"/>
      <c r="J49" s="75"/>
      <c r="K49" s="75"/>
      <c r="L49" s="76">
        <f>J49*K49</f>
        <v>0</v>
      </c>
      <c r="M49" s="102"/>
      <c r="N49" s="102"/>
      <c r="O49" s="102"/>
      <c r="P49" s="103"/>
      <c r="Q49" s="103"/>
      <c r="R49" s="103"/>
      <c r="S49" s="103"/>
      <c r="T49" s="103"/>
      <c r="U49" s="104"/>
      <c r="V49" s="105"/>
    </row>
    <row r="50" spans="1:176" s="1" customFormat="1" ht="57" x14ac:dyDescent="0.25">
      <c r="A50" s="91" t="s">
        <v>24</v>
      </c>
      <c r="B50" s="35" t="s">
        <v>1041</v>
      </c>
      <c r="C50" s="13"/>
      <c r="D50" s="135"/>
      <c r="E50" s="135"/>
      <c r="F50" s="13"/>
      <c r="G50" s="52" t="s">
        <v>1042</v>
      </c>
      <c r="H50" s="33"/>
      <c r="I50" s="34"/>
      <c r="J50" s="75"/>
      <c r="K50" s="75"/>
      <c r="L50" s="76">
        <f t="shared" si="0"/>
        <v>0</v>
      </c>
      <c r="M50" s="102"/>
      <c r="N50" s="102"/>
      <c r="O50" s="102"/>
      <c r="P50" s="103"/>
      <c r="Q50" s="103"/>
      <c r="R50" s="103"/>
      <c r="S50" s="103"/>
      <c r="T50" s="103"/>
      <c r="U50" s="104"/>
      <c r="V50" s="105"/>
    </row>
    <row r="51" spans="1:176" s="1" customFormat="1" ht="28.5" x14ac:dyDescent="0.2">
      <c r="A51" s="91" t="s">
        <v>25</v>
      </c>
      <c r="B51" s="35" t="s">
        <v>581</v>
      </c>
      <c r="C51" s="48"/>
      <c r="D51" s="135"/>
      <c r="E51" s="135"/>
      <c r="F51" s="13"/>
      <c r="G51" s="52"/>
      <c r="H51" s="33">
        <v>61</v>
      </c>
      <c r="I51" s="34"/>
      <c r="J51" s="75"/>
      <c r="K51" s="75"/>
      <c r="L51" s="76">
        <f t="shared" si="0"/>
        <v>0</v>
      </c>
      <c r="M51" s="98"/>
      <c r="N51" s="98"/>
      <c r="O51" s="98"/>
      <c r="P51" s="99"/>
      <c r="Q51" s="99"/>
      <c r="R51" s="99"/>
      <c r="S51" s="99"/>
      <c r="T51" s="99"/>
      <c r="U51" s="100"/>
      <c r="V51" s="101"/>
    </row>
    <row r="52" spans="1:176" s="1" customFormat="1" ht="28.5" x14ac:dyDescent="0.2">
      <c r="A52" s="91" t="s">
        <v>26</v>
      </c>
      <c r="B52" s="35" t="s">
        <v>582</v>
      </c>
      <c r="C52" s="48"/>
      <c r="D52" s="135"/>
      <c r="E52" s="135"/>
      <c r="F52" s="13"/>
      <c r="G52" s="52"/>
      <c r="H52" s="33">
        <v>62</v>
      </c>
      <c r="I52" s="34"/>
      <c r="J52" s="75"/>
      <c r="K52" s="75"/>
      <c r="L52" s="76">
        <f t="shared" si="0"/>
        <v>0</v>
      </c>
      <c r="M52" s="98"/>
      <c r="N52" s="98"/>
      <c r="O52" s="98"/>
      <c r="P52" s="99"/>
      <c r="Q52" s="99"/>
      <c r="R52" s="99"/>
      <c r="S52" s="99"/>
      <c r="T52" s="99"/>
      <c r="U52" s="100"/>
      <c r="V52" s="101"/>
    </row>
    <row r="53" spans="1:176" s="1" customFormat="1" ht="28.5" x14ac:dyDescent="0.2">
      <c r="A53" s="91" t="s">
        <v>27</v>
      </c>
      <c r="B53" s="35" t="s">
        <v>583</v>
      </c>
      <c r="C53" s="48"/>
      <c r="D53" s="135"/>
      <c r="E53" s="135"/>
      <c r="F53" s="13"/>
      <c r="G53" s="52"/>
      <c r="H53" s="33">
        <v>63</v>
      </c>
      <c r="I53" s="34"/>
      <c r="J53" s="75"/>
      <c r="K53" s="75"/>
      <c r="L53" s="76">
        <f t="shared" si="0"/>
        <v>0</v>
      </c>
      <c r="M53" s="98"/>
      <c r="N53" s="98"/>
      <c r="O53" s="98"/>
      <c r="P53" s="99"/>
      <c r="Q53" s="99"/>
      <c r="R53" s="99"/>
      <c r="S53" s="99"/>
      <c r="T53" s="99"/>
      <c r="U53" s="100"/>
      <c r="V53" s="101"/>
    </row>
    <row r="54" spans="1:176" s="1" customFormat="1" ht="28.5" x14ac:dyDescent="0.2">
      <c r="A54" s="91" t="s">
        <v>369</v>
      </c>
      <c r="B54" s="35" t="s">
        <v>476</v>
      </c>
      <c r="C54" s="13"/>
      <c r="D54" s="135"/>
      <c r="E54" s="135"/>
      <c r="F54" s="10"/>
      <c r="G54" s="52" t="str">
        <f>IF(C54="","",IF(C54="Yes","Provide a detailed summary of the breach and actions taken to mitigate identified vulnerabilities.",""))</f>
        <v/>
      </c>
      <c r="H54" s="36">
        <v>34</v>
      </c>
      <c r="I54" s="36" t="s">
        <v>370</v>
      </c>
      <c r="J54" s="75"/>
      <c r="K54" s="75"/>
      <c r="L54" s="76">
        <f t="shared" si="0"/>
        <v>0</v>
      </c>
      <c r="M54" s="98"/>
      <c r="N54" s="98"/>
      <c r="O54" s="98"/>
      <c r="P54" s="106"/>
      <c r="Q54" s="99"/>
      <c r="R54" s="99"/>
      <c r="S54" s="99"/>
      <c r="T54" s="99"/>
      <c r="U54" s="100"/>
      <c r="V54" s="101"/>
    </row>
    <row r="55" spans="1:176" s="1" customFormat="1" ht="42.75" x14ac:dyDescent="0.25">
      <c r="A55" s="91" t="s">
        <v>371</v>
      </c>
      <c r="B55" s="35" t="s">
        <v>372</v>
      </c>
      <c r="C55" s="13"/>
      <c r="D55" s="135"/>
      <c r="E55" s="135"/>
      <c r="F55" s="10"/>
      <c r="G55" s="52"/>
      <c r="H55" s="33"/>
      <c r="I55" s="34"/>
      <c r="J55" s="75"/>
      <c r="K55" s="75"/>
      <c r="L55" s="76">
        <f t="shared" si="0"/>
        <v>0</v>
      </c>
      <c r="M55" s="102"/>
      <c r="N55" s="102"/>
      <c r="O55" s="102"/>
      <c r="P55" s="103"/>
      <c r="Q55" s="103"/>
      <c r="R55" s="103"/>
      <c r="S55" s="103"/>
      <c r="T55" s="103"/>
      <c r="U55" s="104"/>
      <c r="V55" s="105"/>
    </row>
    <row r="56" spans="1:176" s="1" customFormat="1" ht="57" x14ac:dyDescent="0.25">
      <c r="A56" s="91" t="s">
        <v>373</v>
      </c>
      <c r="B56" s="35" t="s">
        <v>477</v>
      </c>
      <c r="C56" s="13"/>
      <c r="D56" s="135"/>
      <c r="E56" s="135"/>
      <c r="F56" s="10"/>
      <c r="G56" s="52"/>
      <c r="H56" s="33"/>
      <c r="I56" s="34"/>
      <c r="J56" s="75"/>
      <c r="K56" s="75"/>
      <c r="L56" s="76">
        <f t="shared" si="0"/>
        <v>0</v>
      </c>
      <c r="M56" s="102"/>
      <c r="N56" s="102"/>
      <c r="O56" s="102"/>
      <c r="P56" s="103"/>
      <c r="Q56" s="103"/>
      <c r="R56" s="103"/>
      <c r="S56" s="103"/>
      <c r="T56" s="103"/>
      <c r="U56" s="104"/>
      <c r="V56" s="105"/>
    </row>
    <row r="57" spans="1:176" s="1" customFormat="1" ht="28.5" x14ac:dyDescent="0.25">
      <c r="A57" s="91" t="s">
        <v>374</v>
      </c>
      <c r="B57" s="35" t="s">
        <v>1035</v>
      </c>
      <c r="C57" s="13"/>
      <c r="D57" s="135"/>
      <c r="E57" s="135"/>
      <c r="F57" s="10"/>
      <c r="G57" s="52"/>
      <c r="H57" s="33"/>
      <c r="I57" s="34"/>
      <c r="J57" s="75"/>
      <c r="K57" s="75"/>
      <c r="L57" s="76">
        <f t="shared" si="0"/>
        <v>0</v>
      </c>
      <c r="M57" s="102"/>
      <c r="N57" s="102"/>
      <c r="O57" s="102"/>
      <c r="P57" s="103"/>
      <c r="Q57" s="103"/>
      <c r="R57" s="103"/>
      <c r="S57" s="103"/>
      <c r="T57" s="103"/>
      <c r="U57" s="104"/>
      <c r="V57" s="107" t="s">
        <v>619</v>
      </c>
    </row>
    <row r="58" spans="1:176" s="1" customFormat="1" ht="28.5" x14ac:dyDescent="0.25">
      <c r="A58" s="91" t="s">
        <v>375</v>
      </c>
      <c r="B58" s="35" t="s">
        <v>1190</v>
      </c>
      <c r="C58" s="13"/>
      <c r="D58" s="135"/>
      <c r="E58" s="135"/>
      <c r="F58" s="13"/>
      <c r="G58" s="52" t="str">
        <f>IF(C58="","",IF(C58="Yes","Describe your Information Security Office, including size, talents, resources, etc.","Describe any plans to create an Information Security Office for your organization."))</f>
        <v/>
      </c>
      <c r="H58" s="33"/>
      <c r="I58" s="34"/>
      <c r="J58" s="75"/>
      <c r="K58" s="75"/>
      <c r="L58" s="76">
        <f t="shared" si="0"/>
        <v>0</v>
      </c>
      <c r="M58" s="102"/>
      <c r="N58" s="102"/>
      <c r="O58" s="102"/>
      <c r="P58" s="103"/>
      <c r="Q58" s="103"/>
      <c r="R58" s="103"/>
      <c r="S58" s="103"/>
      <c r="T58" s="103"/>
      <c r="U58" s="108" t="s">
        <v>616</v>
      </c>
      <c r="V58" s="105"/>
    </row>
    <row r="59" spans="1:176" s="1" customFormat="1" ht="28.5" x14ac:dyDescent="0.25">
      <c r="A59" s="91" t="s">
        <v>376</v>
      </c>
      <c r="B59" s="35" t="s">
        <v>478</v>
      </c>
      <c r="C59" s="13"/>
      <c r="D59" s="135"/>
      <c r="E59" s="135"/>
      <c r="F59" s="10"/>
      <c r="G59" s="52" t="str">
        <f>IF(C59="","",IF(C59="Yes","Describe the structure and size of your Software and System Development teams (e.g. Customer Support, Implementation, Product Management, etc.)","Describe your current teams/organizational structure, as well as any plans to create dedicated teams."))</f>
        <v/>
      </c>
      <c r="H59" s="33"/>
      <c r="I59" s="34"/>
      <c r="J59" s="75"/>
      <c r="K59" s="75"/>
      <c r="L59" s="76">
        <f t="shared" si="0"/>
        <v>0</v>
      </c>
      <c r="M59" s="102"/>
      <c r="N59" s="102"/>
      <c r="O59" s="102"/>
      <c r="P59" s="103"/>
      <c r="Q59" s="103"/>
      <c r="R59" s="103"/>
      <c r="S59" s="103"/>
      <c r="T59" s="103"/>
      <c r="U59" s="104"/>
      <c r="V59" s="105"/>
    </row>
    <row r="60" spans="1:176" s="1" customFormat="1" ht="42.75" x14ac:dyDescent="0.25">
      <c r="A60" s="91" t="s">
        <v>377</v>
      </c>
      <c r="B60" s="35" t="s">
        <v>251</v>
      </c>
      <c r="C60" s="13"/>
      <c r="D60" s="135"/>
      <c r="E60" s="135"/>
      <c r="F60" s="13"/>
      <c r="G60" s="52" t="s">
        <v>248</v>
      </c>
      <c r="H60" s="33"/>
      <c r="I60" s="34"/>
      <c r="J60" s="75"/>
      <c r="K60" s="75"/>
      <c r="L60" s="76">
        <f t="shared" si="0"/>
        <v>0</v>
      </c>
      <c r="M60" s="102"/>
      <c r="N60" s="102"/>
      <c r="O60" s="102"/>
      <c r="P60" s="103"/>
      <c r="Q60" s="103"/>
      <c r="R60" s="103"/>
      <c r="S60" s="103"/>
      <c r="T60" s="103"/>
      <c r="U60" s="104"/>
      <c r="V60" s="105"/>
    </row>
    <row r="61" spans="1:176" s="1" customFormat="1" ht="108" x14ac:dyDescent="0.2">
      <c r="A61" s="190" t="s">
        <v>142</v>
      </c>
      <c r="B61" s="190"/>
      <c r="C61" s="141" t="str">
        <f>"Response for " &amp; C45</f>
        <v>Response for Supplier Systems</v>
      </c>
      <c r="D61" s="132" t="s">
        <v>526</v>
      </c>
      <c r="E61" s="132" t="s">
        <v>99</v>
      </c>
      <c r="F61" s="2" t="s">
        <v>17</v>
      </c>
      <c r="G61" s="2" t="s">
        <v>18</v>
      </c>
      <c r="H61" s="2" t="s">
        <v>339</v>
      </c>
      <c r="I61" s="2" t="s">
        <v>365</v>
      </c>
      <c r="J61" s="224" t="s">
        <v>566</v>
      </c>
      <c r="K61" s="225"/>
      <c r="L61" s="77">
        <f>SUM(L62:L76)</f>
        <v>0</v>
      </c>
      <c r="M61" s="94" t="s">
        <v>602</v>
      </c>
      <c r="N61" s="94" t="s">
        <v>603</v>
      </c>
      <c r="O61" s="94" t="s">
        <v>604</v>
      </c>
      <c r="P61" s="95" t="s">
        <v>605</v>
      </c>
      <c r="Q61" s="95" t="s">
        <v>606</v>
      </c>
      <c r="R61" s="95" t="s">
        <v>607</v>
      </c>
      <c r="S61" s="96" t="s">
        <v>1086</v>
      </c>
      <c r="T61" s="97" t="s">
        <v>610</v>
      </c>
      <c r="U61" s="95" t="s">
        <v>613</v>
      </c>
      <c r="V61" s="95" t="s">
        <v>617</v>
      </c>
    </row>
    <row r="62" spans="1:176" s="1" customFormat="1" ht="57" x14ac:dyDescent="0.2">
      <c r="A62" s="91" t="s">
        <v>28</v>
      </c>
      <c r="B62" s="14" t="s">
        <v>1094</v>
      </c>
      <c r="C62" s="11"/>
      <c r="D62" s="136"/>
      <c r="E62" s="136"/>
      <c r="F62" s="11"/>
      <c r="G62" s="52" t="s">
        <v>29</v>
      </c>
      <c r="H62" s="33"/>
      <c r="I62" s="34" t="s">
        <v>378</v>
      </c>
      <c r="J62" s="75"/>
      <c r="K62" s="75"/>
      <c r="L62" s="76">
        <f t="shared" ref="L62:L76" si="1">J62*K62</f>
        <v>0</v>
      </c>
      <c r="M62" s="109"/>
      <c r="N62" s="109"/>
      <c r="O62" s="109"/>
      <c r="P62" s="99" t="s">
        <v>621</v>
      </c>
      <c r="Q62" s="99" t="s">
        <v>621</v>
      </c>
      <c r="R62" s="99"/>
      <c r="S62" s="142" t="s">
        <v>1087</v>
      </c>
      <c r="T62" s="106"/>
      <c r="U62" s="100" t="s">
        <v>622</v>
      </c>
      <c r="V62" s="101" t="s">
        <v>623</v>
      </c>
    </row>
    <row r="63" spans="1:176" ht="57" x14ac:dyDescent="0.25">
      <c r="A63" s="91" t="s">
        <v>30</v>
      </c>
      <c r="B63" s="14" t="s">
        <v>479</v>
      </c>
      <c r="C63" s="11"/>
      <c r="D63" s="136"/>
      <c r="E63" s="136"/>
      <c r="F63" s="11"/>
      <c r="G63" s="52" t="s">
        <v>510</v>
      </c>
      <c r="H63" s="33"/>
      <c r="I63" s="34"/>
      <c r="J63" s="75"/>
      <c r="K63" s="75"/>
      <c r="L63" s="76">
        <f t="shared" si="1"/>
        <v>0</v>
      </c>
      <c r="M63" s="110"/>
      <c r="N63" s="110"/>
      <c r="O63" s="110"/>
      <c r="P63" s="103"/>
      <c r="Q63" s="103"/>
      <c r="R63" s="103"/>
      <c r="S63" s="103"/>
      <c r="T63" s="103"/>
      <c r="U63" s="104"/>
      <c r="V63" s="105"/>
      <c r="FT63"/>
    </row>
    <row r="64" spans="1:176" ht="42.75" x14ac:dyDescent="0.2">
      <c r="A64" s="91" t="s">
        <v>158</v>
      </c>
      <c r="B64" s="14" t="s">
        <v>480</v>
      </c>
      <c r="C64" s="11"/>
      <c r="D64" s="136"/>
      <c r="E64" s="136"/>
      <c r="F64" s="11"/>
      <c r="G64" s="53"/>
      <c r="H64" s="33"/>
      <c r="I64" s="34" t="s">
        <v>379</v>
      </c>
      <c r="J64" s="75"/>
      <c r="K64" s="75"/>
      <c r="L64" s="76">
        <f t="shared" si="1"/>
        <v>0</v>
      </c>
      <c r="M64" s="109"/>
      <c r="N64" s="109"/>
      <c r="O64" s="109"/>
      <c r="P64" s="99" t="s">
        <v>624</v>
      </c>
      <c r="Q64" s="99" t="s">
        <v>625</v>
      </c>
      <c r="R64" s="99"/>
      <c r="S64" s="142" t="s">
        <v>1088</v>
      </c>
      <c r="T64" s="106"/>
      <c r="U64" s="100" t="s">
        <v>626</v>
      </c>
      <c r="V64" s="101" t="s">
        <v>623</v>
      </c>
      <c r="FT64"/>
    </row>
    <row r="65" spans="1:176" ht="110.25" x14ac:dyDescent="0.2">
      <c r="A65" s="91" t="s">
        <v>32</v>
      </c>
      <c r="B65" s="14" t="s">
        <v>468</v>
      </c>
      <c r="C65" s="13"/>
      <c r="D65" s="135"/>
      <c r="E65" s="135"/>
      <c r="F65" s="17"/>
      <c r="G65" s="53" t="str">
        <f>IF(C65="","",IF(C65="Yes","Please describe this program and how it is maintained.","Please describe how you ensure integrity in absence of a program that ensures storage security."))</f>
        <v/>
      </c>
      <c r="H65" s="33">
        <v>2</v>
      </c>
      <c r="I65" s="34" t="s">
        <v>380</v>
      </c>
      <c r="J65" s="75"/>
      <c r="K65" s="75"/>
      <c r="L65" s="76">
        <f t="shared" si="1"/>
        <v>0</v>
      </c>
      <c r="M65" s="109"/>
      <c r="N65" s="109"/>
      <c r="O65" s="109"/>
      <c r="P65" s="99" t="s">
        <v>627</v>
      </c>
      <c r="Q65" s="99" t="s">
        <v>627</v>
      </c>
      <c r="R65" s="99" t="s">
        <v>628</v>
      </c>
      <c r="S65" s="142" t="s">
        <v>1090</v>
      </c>
      <c r="T65" s="99" t="s">
        <v>629</v>
      </c>
      <c r="U65" s="100" t="s">
        <v>630</v>
      </c>
      <c r="V65" s="111" t="s">
        <v>631</v>
      </c>
      <c r="FT65"/>
    </row>
    <row r="66" spans="1:176" ht="63" x14ac:dyDescent="0.2">
      <c r="A66" s="91" t="s">
        <v>254</v>
      </c>
      <c r="B66" s="14" t="s">
        <v>332</v>
      </c>
      <c r="C66" s="13"/>
      <c r="D66" s="135"/>
      <c r="E66" s="135"/>
      <c r="F66" s="17"/>
      <c r="G66" s="53" t="str">
        <f>IF(C66="","",IF(C66="Yes","Please describe this process.","Please describe how the integrity of software is verified prior to use."))</f>
        <v/>
      </c>
      <c r="H66" s="33"/>
      <c r="I66" s="34" t="s">
        <v>381</v>
      </c>
      <c r="J66" s="75"/>
      <c r="K66" s="75"/>
      <c r="L66" s="76">
        <f t="shared" si="1"/>
        <v>0</v>
      </c>
      <c r="M66" s="109" t="s">
        <v>620</v>
      </c>
      <c r="N66" s="109"/>
      <c r="O66" s="109" t="s">
        <v>1064</v>
      </c>
      <c r="P66" s="99"/>
      <c r="Q66" s="99"/>
      <c r="R66" s="99"/>
      <c r="S66" s="142" t="s">
        <v>1108</v>
      </c>
      <c r="T66" s="99" t="s">
        <v>632</v>
      </c>
      <c r="U66" s="100" t="s">
        <v>633</v>
      </c>
      <c r="V66" s="101" t="s">
        <v>623</v>
      </c>
      <c r="FT66"/>
    </row>
    <row r="67" spans="1:176" ht="110.25" x14ac:dyDescent="0.2">
      <c r="A67" s="91" t="s">
        <v>262</v>
      </c>
      <c r="B67" s="14" t="s">
        <v>333</v>
      </c>
      <c r="C67" s="13"/>
      <c r="D67" s="135"/>
      <c r="E67" s="135"/>
      <c r="F67" s="17"/>
      <c r="G67" s="53" t="str">
        <f>IF(C67="","",IF(C67="Yes","Please describe this process.",""))</f>
        <v/>
      </c>
      <c r="H67" s="33"/>
      <c r="I67" s="34" t="s">
        <v>382</v>
      </c>
      <c r="J67" s="75"/>
      <c r="K67" s="75"/>
      <c r="L67" s="76">
        <f t="shared" si="1"/>
        <v>0</v>
      </c>
      <c r="M67" s="109" t="s">
        <v>620</v>
      </c>
      <c r="N67" s="109"/>
      <c r="O67" s="109" t="s">
        <v>1064</v>
      </c>
      <c r="P67" s="99" t="s">
        <v>634</v>
      </c>
      <c r="Q67" s="99" t="s">
        <v>634</v>
      </c>
      <c r="R67" s="99" t="s">
        <v>635</v>
      </c>
      <c r="S67" s="142" t="s">
        <v>1109</v>
      </c>
      <c r="T67" s="99" t="s">
        <v>636</v>
      </c>
      <c r="U67" s="100" t="s">
        <v>637</v>
      </c>
      <c r="V67" s="101" t="s">
        <v>638</v>
      </c>
      <c r="FT67"/>
    </row>
    <row r="68" spans="1:176" ht="31.5" x14ac:dyDescent="0.2">
      <c r="A68" s="91" t="s">
        <v>263</v>
      </c>
      <c r="B68" s="14" t="s">
        <v>469</v>
      </c>
      <c r="C68" s="13"/>
      <c r="D68" s="135"/>
      <c r="E68" s="135"/>
      <c r="F68" s="17"/>
      <c r="G68" s="53" t="str">
        <f>IF(C68="","",IF(C68="Yes","Please describe this process.",""))</f>
        <v/>
      </c>
      <c r="H68" s="33">
        <v>59</v>
      </c>
      <c r="I68" s="34" t="s">
        <v>1038</v>
      </c>
      <c r="J68" s="75"/>
      <c r="K68" s="75"/>
      <c r="L68" s="76">
        <f t="shared" si="1"/>
        <v>0</v>
      </c>
      <c r="M68" s="109" t="s">
        <v>620</v>
      </c>
      <c r="N68" s="109"/>
      <c r="O68" s="109"/>
      <c r="P68" s="99" t="s">
        <v>639</v>
      </c>
      <c r="Q68" s="99" t="s">
        <v>639</v>
      </c>
      <c r="R68" s="99"/>
      <c r="S68" s="142" t="s">
        <v>1101</v>
      </c>
      <c r="T68" s="99" t="s">
        <v>640</v>
      </c>
      <c r="U68" s="100" t="s">
        <v>641</v>
      </c>
      <c r="V68" s="101" t="s">
        <v>642</v>
      </c>
      <c r="FT68"/>
    </row>
    <row r="69" spans="1:176" ht="63" x14ac:dyDescent="0.2">
      <c r="A69" s="91" t="s">
        <v>264</v>
      </c>
      <c r="B69" s="14" t="s">
        <v>482</v>
      </c>
      <c r="C69" s="13"/>
      <c r="D69" s="135"/>
      <c r="E69" s="135"/>
      <c r="F69" s="17"/>
      <c r="G69" s="53" t="str">
        <f>IF(C69="","",IF(C69="Yes","Please describe or provide a reference to/copy of this policy.",""))</f>
        <v/>
      </c>
      <c r="H69" s="33">
        <v>48</v>
      </c>
      <c r="I69" s="34" t="s">
        <v>383</v>
      </c>
      <c r="J69" s="75"/>
      <c r="K69" s="75"/>
      <c r="L69" s="76">
        <f t="shared" si="1"/>
        <v>0</v>
      </c>
      <c r="M69" s="109" t="s">
        <v>620</v>
      </c>
      <c r="N69" s="109"/>
      <c r="O69" s="109" t="s">
        <v>1064</v>
      </c>
      <c r="P69" s="99" t="s">
        <v>643</v>
      </c>
      <c r="Q69" s="99" t="s">
        <v>643</v>
      </c>
      <c r="R69" s="99"/>
      <c r="S69" s="142" t="s">
        <v>1102</v>
      </c>
      <c r="T69" s="99" t="s">
        <v>644</v>
      </c>
      <c r="U69" s="100" t="s">
        <v>633</v>
      </c>
      <c r="V69" s="101" t="s">
        <v>623</v>
      </c>
      <c r="FT69"/>
    </row>
    <row r="70" spans="1:176" ht="28.5" x14ac:dyDescent="0.2">
      <c r="A70" s="91" t="s">
        <v>265</v>
      </c>
      <c r="B70" s="14" t="s">
        <v>551</v>
      </c>
      <c r="C70" s="13"/>
      <c r="D70" s="135"/>
      <c r="E70" s="135"/>
      <c r="F70" s="17"/>
      <c r="G70" s="53"/>
      <c r="H70" s="33">
        <v>23</v>
      </c>
      <c r="I70" s="34" t="s">
        <v>384</v>
      </c>
      <c r="J70" s="75"/>
      <c r="K70" s="75"/>
      <c r="L70" s="76">
        <f t="shared" si="1"/>
        <v>0</v>
      </c>
      <c r="M70" s="109"/>
      <c r="N70" s="109"/>
      <c r="O70" s="109"/>
      <c r="P70" s="99"/>
      <c r="Q70" s="99"/>
      <c r="R70" s="99"/>
      <c r="S70" s="99"/>
      <c r="T70" s="99"/>
      <c r="U70" s="100" t="s">
        <v>615</v>
      </c>
      <c r="V70" s="101" t="s">
        <v>618</v>
      </c>
      <c r="FT70"/>
    </row>
    <row r="71" spans="1:176" ht="18" x14ac:dyDescent="0.2">
      <c r="A71" s="91" t="s">
        <v>266</v>
      </c>
      <c r="B71" s="14" t="s">
        <v>273</v>
      </c>
      <c r="C71" s="13"/>
      <c r="D71" s="135"/>
      <c r="E71" s="135"/>
      <c r="F71" s="17"/>
      <c r="G71" s="149" t="str">
        <f>IF(C71="","",IF(C71="Yes","Can this information be shared with the entity?",""))</f>
        <v/>
      </c>
      <c r="H71" s="33" t="s">
        <v>544</v>
      </c>
      <c r="I71" s="34" t="s">
        <v>385</v>
      </c>
      <c r="J71" s="75"/>
      <c r="K71" s="75"/>
      <c r="L71" s="76">
        <f t="shared" si="1"/>
        <v>0</v>
      </c>
      <c r="M71" s="109"/>
      <c r="N71" s="109"/>
      <c r="O71" s="109"/>
      <c r="P71" s="99" t="s">
        <v>643</v>
      </c>
      <c r="Q71" s="99" t="s">
        <v>643</v>
      </c>
      <c r="R71" s="99"/>
      <c r="S71" s="99"/>
      <c r="T71" s="99"/>
      <c r="U71" s="100"/>
      <c r="V71" s="101" t="s">
        <v>645</v>
      </c>
      <c r="FT71"/>
    </row>
    <row r="72" spans="1:176" ht="78.75" x14ac:dyDescent="0.2">
      <c r="A72" s="91" t="s">
        <v>271</v>
      </c>
      <c r="B72" s="14" t="s">
        <v>294</v>
      </c>
      <c r="C72" s="126"/>
      <c r="D72" s="136"/>
      <c r="E72" s="137"/>
      <c r="F72" s="17"/>
      <c r="G72" s="53" t="str">
        <f>IF(C72="","",IF(C72="Yes","Please describe this aspect of your program in adequate detail.",""))</f>
        <v/>
      </c>
      <c r="H72" s="33">
        <v>39</v>
      </c>
      <c r="I72" s="34" t="s">
        <v>386</v>
      </c>
      <c r="J72" s="75"/>
      <c r="K72" s="75"/>
      <c r="L72" s="76">
        <f t="shared" si="1"/>
        <v>0</v>
      </c>
      <c r="M72" s="109"/>
      <c r="N72" s="109"/>
      <c r="O72" s="109"/>
      <c r="P72" s="99"/>
      <c r="Q72" s="99"/>
      <c r="R72" s="99"/>
      <c r="S72" s="142" t="s">
        <v>1103</v>
      </c>
      <c r="T72" s="99" t="s">
        <v>646</v>
      </c>
      <c r="U72" s="100" t="s">
        <v>647</v>
      </c>
      <c r="V72" s="101" t="s">
        <v>648</v>
      </c>
      <c r="FT72"/>
    </row>
    <row r="73" spans="1:176" ht="63" x14ac:dyDescent="0.2">
      <c r="A73" s="91" t="s">
        <v>272</v>
      </c>
      <c r="B73" s="14" t="s">
        <v>1193</v>
      </c>
      <c r="C73" s="13"/>
      <c r="D73" s="135"/>
      <c r="E73" s="135"/>
      <c r="F73" s="17"/>
      <c r="G73" s="53" t="str">
        <f>IF(C73="","",IF(C73="Yes","Please describe this process, including timeframe for and method by which notification is provided.",""))</f>
        <v/>
      </c>
      <c r="H73" s="33"/>
      <c r="I73" s="34" t="s">
        <v>387</v>
      </c>
      <c r="J73" s="75"/>
      <c r="K73" s="75"/>
      <c r="L73" s="76">
        <f t="shared" si="1"/>
        <v>0</v>
      </c>
      <c r="M73" s="109" t="s">
        <v>1182</v>
      </c>
      <c r="N73" s="109"/>
      <c r="O73" s="109" t="s">
        <v>1065</v>
      </c>
      <c r="P73" s="99" t="s">
        <v>649</v>
      </c>
      <c r="Q73" s="99" t="s">
        <v>649</v>
      </c>
      <c r="R73" s="99" t="s">
        <v>635</v>
      </c>
      <c r="S73" s="142" t="s">
        <v>1110</v>
      </c>
      <c r="T73" s="99" t="s">
        <v>650</v>
      </c>
      <c r="U73" s="100" t="s">
        <v>637</v>
      </c>
      <c r="V73" s="101" t="s">
        <v>638</v>
      </c>
      <c r="FT73"/>
    </row>
    <row r="74" spans="1:176" ht="28.5" x14ac:dyDescent="0.25">
      <c r="A74" s="91" t="s">
        <v>293</v>
      </c>
      <c r="B74" s="14" t="s">
        <v>317</v>
      </c>
      <c r="C74" s="13"/>
      <c r="D74" s="135"/>
      <c r="E74" s="135"/>
      <c r="F74" s="17"/>
      <c r="G74" s="53"/>
      <c r="H74" s="33"/>
      <c r="I74" s="34"/>
      <c r="J74" s="75"/>
      <c r="K74" s="75"/>
      <c r="L74" s="76">
        <f t="shared" si="1"/>
        <v>0</v>
      </c>
      <c r="M74" s="110"/>
      <c r="N74" s="110"/>
      <c r="O74" s="110"/>
      <c r="P74" s="112" t="s">
        <v>651</v>
      </c>
      <c r="Q74" s="112"/>
      <c r="R74" s="103"/>
      <c r="S74" s="103"/>
      <c r="T74" s="103"/>
      <c r="U74" s="104"/>
      <c r="V74" s="105"/>
      <c r="FT74"/>
    </row>
    <row r="75" spans="1:176" s="1" customFormat="1" ht="74.25" customHeight="1" x14ac:dyDescent="0.25">
      <c r="A75" s="91" t="s">
        <v>299</v>
      </c>
      <c r="B75" s="16" t="s">
        <v>1194</v>
      </c>
      <c r="C75" s="11"/>
      <c r="D75" s="136"/>
      <c r="E75" s="136"/>
      <c r="F75" s="11"/>
      <c r="G75" s="52" t="s">
        <v>31</v>
      </c>
      <c r="H75" s="33"/>
      <c r="I75" s="34"/>
      <c r="J75" s="75"/>
      <c r="K75" s="75"/>
      <c r="L75" s="76">
        <f t="shared" si="1"/>
        <v>0</v>
      </c>
      <c r="M75" s="110"/>
      <c r="N75" s="110"/>
      <c r="O75" s="110"/>
      <c r="P75" s="103"/>
      <c r="Q75" s="103"/>
      <c r="R75" s="103"/>
      <c r="S75" s="103"/>
      <c r="T75" s="103"/>
      <c r="U75" s="104"/>
      <c r="V75" s="105"/>
    </row>
    <row r="76" spans="1:176" s="1" customFormat="1" ht="42.75" x14ac:dyDescent="0.25">
      <c r="A76" s="91" t="s">
        <v>316</v>
      </c>
      <c r="B76" s="3" t="s">
        <v>463</v>
      </c>
      <c r="C76" s="11"/>
      <c r="D76" s="136"/>
      <c r="E76" s="136"/>
      <c r="F76" s="11"/>
      <c r="G76" s="52" t="s">
        <v>156</v>
      </c>
      <c r="H76" s="33"/>
      <c r="I76" s="34"/>
      <c r="J76" s="75"/>
      <c r="K76" s="75"/>
      <c r="L76" s="76">
        <f t="shared" si="1"/>
        <v>0</v>
      </c>
      <c r="M76" s="110"/>
      <c r="N76" s="110"/>
      <c r="O76" s="110"/>
      <c r="P76" s="103"/>
      <c r="Q76" s="103"/>
      <c r="R76" s="103"/>
      <c r="S76" s="103"/>
      <c r="T76" s="103"/>
      <c r="U76" s="104"/>
      <c r="V76" s="105"/>
    </row>
    <row r="77" spans="1:176" ht="108" x14ac:dyDescent="0.2">
      <c r="A77" s="190" t="s">
        <v>157</v>
      </c>
      <c r="B77" s="190"/>
      <c r="C77" s="141" t="str">
        <f>"Response for " &amp; C45</f>
        <v>Response for Supplier Systems</v>
      </c>
      <c r="D77" s="132" t="s">
        <v>526</v>
      </c>
      <c r="E77" s="132" t="s">
        <v>99</v>
      </c>
      <c r="F77" s="2" t="s">
        <v>17</v>
      </c>
      <c r="G77" s="2" t="s">
        <v>18</v>
      </c>
      <c r="H77" s="2" t="s">
        <v>339</v>
      </c>
      <c r="I77" s="2" t="s">
        <v>365</v>
      </c>
      <c r="J77" s="224" t="s">
        <v>566</v>
      </c>
      <c r="K77" s="225"/>
      <c r="L77" s="77">
        <f>SUM(L78:L90)</f>
        <v>0</v>
      </c>
      <c r="M77" s="94" t="s">
        <v>602</v>
      </c>
      <c r="N77" s="94" t="s">
        <v>603</v>
      </c>
      <c r="O77" s="94" t="s">
        <v>604</v>
      </c>
      <c r="P77" s="95" t="s">
        <v>605</v>
      </c>
      <c r="Q77" s="95" t="s">
        <v>606</v>
      </c>
      <c r="R77" s="95" t="s">
        <v>607</v>
      </c>
      <c r="S77" s="96" t="s">
        <v>1086</v>
      </c>
      <c r="T77" s="97" t="s">
        <v>610</v>
      </c>
      <c r="U77" s="95" t="s">
        <v>613</v>
      </c>
      <c r="V77" s="95" t="s">
        <v>617</v>
      </c>
      <c r="FT77"/>
    </row>
    <row r="78" spans="1:176" ht="42.75" x14ac:dyDescent="0.2">
      <c r="A78" s="91" t="s">
        <v>278</v>
      </c>
      <c r="B78" s="18" t="s">
        <v>483</v>
      </c>
      <c r="C78" s="126"/>
      <c r="D78" s="136"/>
      <c r="E78" s="137"/>
      <c r="F78" s="12"/>
      <c r="G78" s="53" t="str">
        <f>IF(C78="","",IF(C78="Yes","Summarize background check practices including level (e.g. seven-year background checks) and list of any exempted employees or contactors due to restrictions by country of employment.","State plans to implement background checks into your hiring process."))</f>
        <v/>
      </c>
      <c r="H78" s="33" t="s">
        <v>462</v>
      </c>
      <c r="I78" s="34" t="s">
        <v>461</v>
      </c>
      <c r="J78" s="75"/>
      <c r="K78" s="75"/>
      <c r="L78" s="76">
        <f t="shared" ref="L78:L141" si="2">J78*K78</f>
        <v>0</v>
      </c>
      <c r="M78" s="113"/>
      <c r="N78" s="113"/>
      <c r="O78" s="113"/>
      <c r="P78" s="112" t="s">
        <v>653</v>
      </c>
      <c r="Q78" s="112" t="s">
        <v>653</v>
      </c>
      <c r="R78" s="112" t="s">
        <v>654</v>
      </c>
      <c r="S78" s="143" t="s">
        <v>1104</v>
      </c>
      <c r="T78" s="114" t="s">
        <v>751</v>
      </c>
      <c r="U78" s="108" t="s">
        <v>655</v>
      </c>
      <c r="V78" s="107" t="s">
        <v>656</v>
      </c>
      <c r="FT78"/>
    </row>
    <row r="79" spans="1:176" ht="31.5" x14ac:dyDescent="0.2">
      <c r="A79" s="90" t="s">
        <v>537</v>
      </c>
      <c r="B79" s="18" t="s">
        <v>538</v>
      </c>
      <c r="C79" s="126"/>
      <c r="D79" s="136"/>
      <c r="E79" s="137"/>
      <c r="F79" s="12"/>
      <c r="G79" s="53" t="str">
        <f>IF(C79="","",IF(C79="Yes","Provide frequency that supplier's process requires and list of any exempted employees or contactors due to the personnel's area of responsibility or restrictions by country of employment.",""))</f>
        <v/>
      </c>
      <c r="H79" s="33" t="s">
        <v>462</v>
      </c>
      <c r="I79" s="34" t="s">
        <v>461</v>
      </c>
      <c r="J79" s="75"/>
      <c r="K79" s="75"/>
      <c r="L79" s="76">
        <f t="shared" si="2"/>
        <v>0</v>
      </c>
      <c r="M79" s="113"/>
      <c r="N79" s="113"/>
      <c r="O79" s="113"/>
      <c r="P79" s="112" t="s">
        <v>653</v>
      </c>
      <c r="Q79" s="112" t="s">
        <v>653</v>
      </c>
      <c r="R79" s="112" t="s">
        <v>654</v>
      </c>
      <c r="S79" s="143" t="s">
        <v>1104</v>
      </c>
      <c r="T79" s="114" t="s">
        <v>657</v>
      </c>
      <c r="U79" s="108" t="s">
        <v>655</v>
      </c>
      <c r="V79" s="107" t="s">
        <v>656</v>
      </c>
      <c r="FT79"/>
    </row>
    <row r="80" spans="1:176" ht="63" x14ac:dyDescent="0.2">
      <c r="A80" s="91" t="s">
        <v>279</v>
      </c>
      <c r="B80" s="18" t="s">
        <v>1195</v>
      </c>
      <c r="C80" s="126"/>
      <c r="D80" s="136"/>
      <c r="E80" s="137"/>
      <c r="F80" s="12"/>
      <c r="G80" s="53"/>
      <c r="H80" s="33">
        <v>3</v>
      </c>
      <c r="I80" s="34" t="s">
        <v>389</v>
      </c>
      <c r="J80" s="75"/>
      <c r="K80" s="75"/>
      <c r="L80" s="76">
        <f t="shared" si="2"/>
        <v>0</v>
      </c>
      <c r="M80" s="113"/>
      <c r="N80" s="113"/>
      <c r="O80" s="113"/>
      <c r="P80" s="112" t="s">
        <v>653</v>
      </c>
      <c r="Q80" s="112" t="s">
        <v>653</v>
      </c>
      <c r="R80" s="112" t="s">
        <v>654</v>
      </c>
      <c r="S80" s="143" t="s">
        <v>1104</v>
      </c>
      <c r="T80" s="114" t="s">
        <v>658</v>
      </c>
      <c r="U80" s="108" t="s">
        <v>655</v>
      </c>
      <c r="V80" s="107" t="s">
        <v>656</v>
      </c>
      <c r="FT80"/>
    </row>
    <row r="81" spans="1:176" ht="69" customHeight="1" x14ac:dyDescent="0.2">
      <c r="A81" s="91" t="s">
        <v>280</v>
      </c>
      <c r="B81" s="18" t="s">
        <v>1196</v>
      </c>
      <c r="C81" s="127"/>
      <c r="D81" s="138"/>
      <c r="E81" s="138"/>
      <c r="F81" s="128"/>
      <c r="G81" s="53"/>
      <c r="H81" s="34" t="s">
        <v>390</v>
      </c>
      <c r="I81" s="34" t="s">
        <v>1036</v>
      </c>
      <c r="J81" s="75"/>
      <c r="K81" s="75"/>
      <c r="L81" s="76">
        <f t="shared" si="2"/>
        <v>0</v>
      </c>
      <c r="M81" s="113" t="s">
        <v>652</v>
      </c>
      <c r="N81" s="115" t="s">
        <v>1051</v>
      </c>
      <c r="O81" s="113"/>
      <c r="P81" s="114" t="s">
        <v>659</v>
      </c>
      <c r="Q81" s="114" t="s">
        <v>660</v>
      </c>
      <c r="R81" s="114" t="s">
        <v>661</v>
      </c>
      <c r="S81" s="143" t="s">
        <v>1091</v>
      </c>
      <c r="T81" s="112" t="s">
        <v>662</v>
      </c>
      <c r="U81" s="108" t="s">
        <v>663</v>
      </c>
      <c r="V81" s="107" t="s">
        <v>664</v>
      </c>
      <c r="FT81"/>
    </row>
    <row r="82" spans="1:176" ht="31.5" x14ac:dyDescent="0.2">
      <c r="A82" s="91" t="s">
        <v>281</v>
      </c>
      <c r="B82" s="18" t="s">
        <v>337</v>
      </c>
      <c r="C82" s="13"/>
      <c r="D82" s="135"/>
      <c r="E82" s="135"/>
      <c r="F82" s="19"/>
      <c r="G82" s="53"/>
      <c r="H82" s="33">
        <v>11</v>
      </c>
      <c r="I82" s="34" t="s">
        <v>391</v>
      </c>
      <c r="J82" s="75"/>
      <c r="K82" s="75"/>
      <c r="L82" s="76">
        <f t="shared" si="2"/>
        <v>0</v>
      </c>
      <c r="M82" s="113" t="s">
        <v>652</v>
      </c>
      <c r="N82" s="113" t="s">
        <v>1052</v>
      </c>
      <c r="O82" s="113"/>
      <c r="P82" s="112" t="s">
        <v>665</v>
      </c>
      <c r="Q82" s="114" t="s">
        <v>666</v>
      </c>
      <c r="R82" s="112" t="s">
        <v>667</v>
      </c>
      <c r="S82" s="143" t="s">
        <v>1091</v>
      </c>
      <c r="T82" s="114" t="s">
        <v>668</v>
      </c>
      <c r="U82" s="116" t="s">
        <v>669</v>
      </c>
      <c r="V82" s="107" t="s">
        <v>664</v>
      </c>
      <c r="FT82"/>
    </row>
    <row r="83" spans="1:176" ht="31.5" x14ac:dyDescent="0.2">
      <c r="A83" s="91" t="s">
        <v>282</v>
      </c>
      <c r="B83" s="18" t="s">
        <v>392</v>
      </c>
      <c r="C83" s="13"/>
      <c r="D83" s="135"/>
      <c r="E83" s="135"/>
      <c r="F83" s="19"/>
      <c r="G83" s="53"/>
      <c r="H83" s="33">
        <v>12</v>
      </c>
      <c r="I83" s="34" t="s">
        <v>393</v>
      </c>
      <c r="J83" s="75"/>
      <c r="K83" s="75"/>
      <c r="L83" s="76">
        <f t="shared" si="2"/>
        <v>0</v>
      </c>
      <c r="M83" s="113" t="s">
        <v>652</v>
      </c>
      <c r="N83" s="113" t="s">
        <v>1052</v>
      </c>
      <c r="O83" s="113"/>
      <c r="P83" s="112" t="s">
        <v>665</v>
      </c>
      <c r="Q83" s="114" t="s">
        <v>666</v>
      </c>
      <c r="R83" s="112" t="s">
        <v>667</v>
      </c>
      <c r="S83" s="143" t="s">
        <v>1091</v>
      </c>
      <c r="T83" s="114" t="s">
        <v>668</v>
      </c>
      <c r="U83" s="116" t="s">
        <v>669</v>
      </c>
      <c r="V83" s="107" t="s">
        <v>664</v>
      </c>
      <c r="FT83"/>
    </row>
    <row r="84" spans="1:176" ht="42.75" x14ac:dyDescent="0.2">
      <c r="A84" s="91" t="s">
        <v>277</v>
      </c>
      <c r="B84" s="18" t="s">
        <v>1197</v>
      </c>
      <c r="C84" s="13"/>
      <c r="D84" s="135"/>
      <c r="E84" s="135"/>
      <c r="F84" s="19"/>
      <c r="G84" s="53"/>
      <c r="H84" s="33">
        <v>10</v>
      </c>
      <c r="I84" s="34" t="s">
        <v>394</v>
      </c>
      <c r="J84" s="75"/>
      <c r="K84" s="75"/>
      <c r="L84" s="76">
        <f t="shared" si="2"/>
        <v>0</v>
      </c>
      <c r="M84" s="113" t="s">
        <v>652</v>
      </c>
      <c r="N84" s="115" t="s">
        <v>1053</v>
      </c>
      <c r="O84" s="113"/>
      <c r="P84" s="112" t="s">
        <v>665</v>
      </c>
      <c r="Q84" s="114" t="s">
        <v>666</v>
      </c>
      <c r="R84" s="112" t="s">
        <v>667</v>
      </c>
      <c r="S84" s="143" t="s">
        <v>1091</v>
      </c>
      <c r="T84" s="114" t="s">
        <v>668</v>
      </c>
      <c r="U84" s="116" t="s">
        <v>669</v>
      </c>
      <c r="V84" s="107" t="s">
        <v>670</v>
      </c>
      <c r="FT84"/>
    </row>
    <row r="85" spans="1:176" ht="78.75" x14ac:dyDescent="0.2">
      <c r="A85" s="91" t="s">
        <v>276</v>
      </c>
      <c r="B85" s="18" t="s">
        <v>395</v>
      </c>
      <c r="C85" s="13"/>
      <c r="D85" s="135"/>
      <c r="E85" s="135"/>
      <c r="F85" s="19"/>
      <c r="G85" s="92" t="str">
        <f>IF(C85="","",IF(C85="Yes","Describe your secure product development program.","Describe your plans for applying security controls and secure coding techniques."))</f>
        <v/>
      </c>
      <c r="H85" s="33">
        <v>47</v>
      </c>
      <c r="I85" s="34" t="s">
        <v>396</v>
      </c>
      <c r="J85" s="75"/>
      <c r="K85" s="75"/>
      <c r="L85" s="76">
        <f t="shared" si="2"/>
        <v>0</v>
      </c>
      <c r="M85" s="113"/>
      <c r="N85" s="113"/>
      <c r="O85" s="113"/>
      <c r="P85" s="112" t="s">
        <v>671</v>
      </c>
      <c r="Q85" s="112" t="s">
        <v>671</v>
      </c>
      <c r="R85" s="112"/>
      <c r="S85" s="148" t="s">
        <v>1107</v>
      </c>
      <c r="T85" s="114" t="s">
        <v>672</v>
      </c>
      <c r="U85" s="116" t="s">
        <v>673</v>
      </c>
      <c r="V85" s="107" t="s">
        <v>674</v>
      </c>
      <c r="FT85"/>
    </row>
    <row r="86" spans="1:176" ht="78.75" x14ac:dyDescent="0.2">
      <c r="A86" s="91" t="s">
        <v>343</v>
      </c>
      <c r="B86" s="18" t="s">
        <v>334</v>
      </c>
      <c r="C86" s="129"/>
      <c r="D86" s="136"/>
      <c r="E86" s="137"/>
      <c r="F86" s="19"/>
      <c r="G86" s="53" t="str">
        <f>IF(C86="","",IF(C86="Yes","Summarize your securing coding training and state how frequently employees are required to undergo this training.","State plans to make secure coding training mandatory for all developers."))</f>
        <v/>
      </c>
      <c r="H86" s="33"/>
      <c r="I86" s="34" t="s">
        <v>397</v>
      </c>
      <c r="J86" s="75"/>
      <c r="K86" s="75"/>
      <c r="L86" s="76">
        <f t="shared" si="2"/>
        <v>0</v>
      </c>
      <c r="M86" s="113"/>
      <c r="N86" s="113"/>
      <c r="O86" s="113"/>
      <c r="P86" s="112" t="s">
        <v>675</v>
      </c>
      <c r="Q86" s="112" t="s">
        <v>675</v>
      </c>
      <c r="R86" s="112" t="s">
        <v>676</v>
      </c>
      <c r="S86" s="114" t="s">
        <v>1181</v>
      </c>
      <c r="T86" s="114" t="s">
        <v>677</v>
      </c>
      <c r="U86" s="108" t="s">
        <v>678</v>
      </c>
      <c r="V86" s="107" t="s">
        <v>679</v>
      </c>
      <c r="FT86"/>
    </row>
    <row r="87" spans="1:176" ht="71.25" x14ac:dyDescent="0.2">
      <c r="A87" s="91" t="s">
        <v>344</v>
      </c>
      <c r="B87" s="18" t="s">
        <v>484</v>
      </c>
      <c r="C87" s="129"/>
      <c r="D87" s="136"/>
      <c r="E87" s="137"/>
      <c r="F87" s="19"/>
      <c r="G87" s="53"/>
      <c r="H87" s="33"/>
      <c r="I87" s="34" t="s">
        <v>388</v>
      </c>
      <c r="J87" s="75"/>
      <c r="K87" s="75"/>
      <c r="L87" s="76">
        <f t="shared" si="2"/>
        <v>0</v>
      </c>
      <c r="M87" s="113"/>
      <c r="N87" s="113"/>
      <c r="O87" s="113"/>
      <c r="P87" s="112" t="s">
        <v>653</v>
      </c>
      <c r="Q87" s="112" t="s">
        <v>653</v>
      </c>
      <c r="R87" s="112" t="s">
        <v>654</v>
      </c>
      <c r="S87" s="148" t="s">
        <v>1104</v>
      </c>
      <c r="T87" s="114" t="s">
        <v>750</v>
      </c>
      <c r="U87" s="108" t="s">
        <v>655</v>
      </c>
      <c r="V87" s="107" t="s">
        <v>656</v>
      </c>
      <c r="FT87"/>
    </row>
    <row r="88" spans="1:176" ht="42.75" x14ac:dyDescent="0.2">
      <c r="A88" s="91" t="s">
        <v>345</v>
      </c>
      <c r="B88" s="18" t="s">
        <v>1198</v>
      </c>
      <c r="C88" s="127"/>
      <c r="D88" s="138"/>
      <c r="E88" s="138"/>
      <c r="F88" s="128"/>
      <c r="G88" s="53"/>
      <c r="H88" s="33"/>
      <c r="I88" s="34"/>
      <c r="J88" s="75"/>
      <c r="K88" s="75"/>
      <c r="L88" s="76">
        <f t="shared" si="2"/>
        <v>0</v>
      </c>
      <c r="M88" s="113"/>
      <c r="N88" s="113" t="s">
        <v>1054</v>
      </c>
      <c r="O88" s="113"/>
      <c r="P88" s="112"/>
      <c r="Q88" s="112"/>
      <c r="R88" s="112"/>
      <c r="S88" s="112"/>
      <c r="T88" s="112"/>
      <c r="U88" s="108"/>
      <c r="V88" s="107"/>
      <c r="FT88"/>
    </row>
    <row r="89" spans="1:176" ht="31.5" x14ac:dyDescent="0.2">
      <c r="A89" s="91" t="s">
        <v>398</v>
      </c>
      <c r="B89" s="18" t="s">
        <v>552</v>
      </c>
      <c r="C89" s="126"/>
      <c r="D89" s="136"/>
      <c r="E89" s="137"/>
      <c r="F89" s="12"/>
      <c r="G89" s="53" t="str">
        <f>IF(C89="","",IF(C89="Yes","Summarize the required agreements and reviewed policies.","Summarize why new employees are not required to accept agreements or review policy, as well as any practices that are conducted with new employees."))</f>
        <v/>
      </c>
      <c r="H89" s="33"/>
      <c r="I89" s="34"/>
      <c r="J89" s="75"/>
      <c r="K89" s="75"/>
      <c r="L89" s="76">
        <f t="shared" si="2"/>
        <v>0</v>
      </c>
      <c r="M89" s="113"/>
      <c r="N89" s="113"/>
      <c r="O89" s="113"/>
      <c r="P89" s="112" t="s">
        <v>680</v>
      </c>
      <c r="Q89" s="112" t="s">
        <v>680</v>
      </c>
      <c r="R89" s="112"/>
      <c r="S89" s="112"/>
      <c r="T89" s="112" t="s">
        <v>681</v>
      </c>
      <c r="U89" s="116" t="s">
        <v>682</v>
      </c>
      <c r="V89" s="107" t="s">
        <v>683</v>
      </c>
      <c r="FT89"/>
    </row>
    <row r="90" spans="1:176" ht="31.5" x14ac:dyDescent="0.2">
      <c r="A90" s="91" t="s">
        <v>399</v>
      </c>
      <c r="B90" s="18" t="s">
        <v>553</v>
      </c>
      <c r="C90" s="126"/>
      <c r="D90" s="136"/>
      <c r="E90" s="137"/>
      <c r="F90" s="12"/>
      <c r="G90" s="53" t="str">
        <f>IF(C90="","",IF(C90="Yes","Summarize your security awareness and privacy training content and state how frequently employees are required to undergo security awareness training.","State plans to make security awareness training mandatory for all employees."))</f>
        <v/>
      </c>
      <c r="H90" s="33"/>
      <c r="I90" s="34"/>
      <c r="J90" s="75"/>
      <c r="K90" s="75"/>
      <c r="L90" s="76">
        <f t="shared" si="2"/>
        <v>0</v>
      </c>
      <c r="M90" s="113"/>
      <c r="N90" s="113"/>
      <c r="O90" s="113"/>
      <c r="P90" s="112" t="s">
        <v>684</v>
      </c>
      <c r="Q90" s="112" t="s">
        <v>684</v>
      </c>
      <c r="R90" s="112" t="s">
        <v>685</v>
      </c>
      <c r="S90" s="143" t="s">
        <v>1111</v>
      </c>
      <c r="T90" s="114" t="s">
        <v>686</v>
      </c>
      <c r="U90" s="108" t="s">
        <v>678</v>
      </c>
      <c r="V90" s="107" t="s">
        <v>687</v>
      </c>
      <c r="FT90"/>
    </row>
    <row r="91" spans="1:176" ht="108" x14ac:dyDescent="0.2">
      <c r="A91" s="190" t="s">
        <v>140</v>
      </c>
      <c r="B91" s="190"/>
      <c r="C91" s="141" t="str">
        <f>"Response for " &amp; C45</f>
        <v>Response for Supplier Systems</v>
      </c>
      <c r="D91" s="132" t="s">
        <v>526</v>
      </c>
      <c r="E91" s="132" t="s">
        <v>99</v>
      </c>
      <c r="F91" s="2" t="s">
        <v>17</v>
      </c>
      <c r="G91" s="2" t="s">
        <v>18</v>
      </c>
      <c r="H91" s="2" t="s">
        <v>339</v>
      </c>
      <c r="I91" s="2" t="s">
        <v>365</v>
      </c>
      <c r="J91" s="224" t="s">
        <v>566</v>
      </c>
      <c r="K91" s="225"/>
      <c r="L91" s="77">
        <f>SUM(L92:L120)</f>
        <v>0</v>
      </c>
      <c r="M91" s="94" t="s">
        <v>602</v>
      </c>
      <c r="N91" s="94" t="s">
        <v>603</v>
      </c>
      <c r="O91" s="94" t="s">
        <v>604</v>
      </c>
      <c r="P91" s="95" t="s">
        <v>605</v>
      </c>
      <c r="Q91" s="95" t="s">
        <v>606</v>
      </c>
      <c r="R91" s="95" t="s">
        <v>607</v>
      </c>
      <c r="S91" s="96" t="s">
        <v>1086</v>
      </c>
      <c r="T91" s="97" t="s">
        <v>610</v>
      </c>
      <c r="U91" s="95" t="s">
        <v>613</v>
      </c>
      <c r="V91" s="95" t="s">
        <v>617</v>
      </c>
      <c r="FT91"/>
    </row>
    <row r="92" spans="1:176" s="1" customFormat="1" ht="18" x14ac:dyDescent="0.2">
      <c r="A92" s="91" t="s">
        <v>160</v>
      </c>
      <c r="B92" s="3" t="s">
        <v>126</v>
      </c>
      <c r="C92" s="48"/>
      <c r="D92" s="135"/>
      <c r="E92" s="135"/>
      <c r="F92" s="31"/>
      <c r="G92" s="53"/>
      <c r="H92" s="33"/>
      <c r="I92" s="34"/>
      <c r="J92" s="75"/>
      <c r="K92" s="78"/>
      <c r="L92" s="76">
        <f t="shared" si="2"/>
        <v>0</v>
      </c>
      <c r="M92" s="113"/>
      <c r="N92" s="113"/>
      <c r="O92" s="113"/>
      <c r="P92" s="112"/>
      <c r="Q92" s="112"/>
      <c r="R92" s="112"/>
      <c r="S92" s="112"/>
      <c r="T92" s="112"/>
      <c r="U92" s="108"/>
      <c r="V92" s="107"/>
    </row>
    <row r="93" spans="1:176" s="1" customFormat="1" ht="94.5" x14ac:dyDescent="0.2">
      <c r="A93" s="91" t="s">
        <v>161</v>
      </c>
      <c r="B93" s="3" t="s">
        <v>485</v>
      </c>
      <c r="C93" s="13"/>
      <c r="D93" s="135"/>
      <c r="E93" s="135"/>
      <c r="F93" s="31"/>
      <c r="G93" s="53" t="str">
        <f>IF(C93="","",IF(C93="Yes","Please provide a high-level description of the major components of this program.","Describe plans to implement such an identity and access management program."))</f>
        <v/>
      </c>
      <c r="H93" s="33">
        <v>1</v>
      </c>
      <c r="I93" s="34" t="s">
        <v>400</v>
      </c>
      <c r="J93" s="75"/>
      <c r="K93" s="78"/>
      <c r="L93" s="76">
        <f t="shared" si="2"/>
        <v>0</v>
      </c>
      <c r="M93" s="113"/>
      <c r="N93" s="113"/>
      <c r="O93" s="113"/>
      <c r="P93" s="114" t="s">
        <v>689</v>
      </c>
      <c r="Q93" s="114" t="s">
        <v>689</v>
      </c>
      <c r="R93" s="114" t="s">
        <v>661</v>
      </c>
      <c r="S93" s="148" t="s">
        <v>1112</v>
      </c>
      <c r="T93" s="114" t="s">
        <v>690</v>
      </c>
      <c r="U93" s="116" t="s">
        <v>691</v>
      </c>
      <c r="V93" s="107" t="s">
        <v>692</v>
      </c>
    </row>
    <row r="94" spans="1:176" s="1" customFormat="1" ht="63" x14ac:dyDescent="0.2">
      <c r="A94" s="91" t="s">
        <v>162</v>
      </c>
      <c r="B94" s="3" t="s">
        <v>486</v>
      </c>
      <c r="C94" s="13"/>
      <c r="D94" s="135"/>
      <c r="E94" s="135"/>
      <c r="F94" s="12"/>
      <c r="G94" s="53" t="str">
        <f>IF(C94="","",IF(C94="Yes","List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94" s="33">
        <v>1.1000000000000001</v>
      </c>
      <c r="I94" s="34"/>
      <c r="J94" s="75"/>
      <c r="K94" s="78"/>
      <c r="L94" s="76">
        <f t="shared" si="2"/>
        <v>0</v>
      </c>
      <c r="M94" s="113"/>
      <c r="N94" s="113" t="s">
        <v>1055</v>
      </c>
      <c r="O94" s="113" t="s">
        <v>1066</v>
      </c>
      <c r="P94" s="112" t="s">
        <v>693</v>
      </c>
      <c r="Q94" s="112" t="s">
        <v>693</v>
      </c>
      <c r="R94" s="114" t="s">
        <v>694</v>
      </c>
      <c r="S94" s="143" t="s">
        <v>1113</v>
      </c>
      <c r="T94" s="114" t="s">
        <v>695</v>
      </c>
      <c r="U94" s="108" t="s">
        <v>696</v>
      </c>
      <c r="V94" s="107"/>
    </row>
    <row r="95" spans="1:176" s="1" customFormat="1" ht="31.5" x14ac:dyDescent="0.2">
      <c r="A95" s="91" t="s">
        <v>163</v>
      </c>
      <c r="B95" s="18" t="s">
        <v>256</v>
      </c>
      <c r="C95" s="13"/>
      <c r="D95" s="135"/>
      <c r="E95" s="135"/>
      <c r="F95" s="21"/>
      <c r="G95" s="52" t="str">
        <f>IF(C95="","",IF(C95="Yes","Please describe the approval process.","Please describe how access is granted and managed."))</f>
        <v/>
      </c>
      <c r="H95" s="33">
        <v>5</v>
      </c>
      <c r="I95" s="34" t="s">
        <v>401</v>
      </c>
      <c r="J95" s="75"/>
      <c r="K95" s="78"/>
      <c r="L95" s="76">
        <f t="shared" si="2"/>
        <v>0</v>
      </c>
      <c r="M95" s="113"/>
      <c r="N95" s="113" t="s">
        <v>1056</v>
      </c>
      <c r="O95" s="115" t="s">
        <v>1067</v>
      </c>
      <c r="P95" s="114" t="s">
        <v>697</v>
      </c>
      <c r="Q95" s="114" t="s">
        <v>697</v>
      </c>
      <c r="R95" s="114" t="s">
        <v>661</v>
      </c>
      <c r="S95" s="148" t="s">
        <v>1106</v>
      </c>
      <c r="T95" s="114" t="s">
        <v>698</v>
      </c>
      <c r="U95" s="116" t="s">
        <v>699</v>
      </c>
      <c r="V95" s="107" t="s">
        <v>670</v>
      </c>
    </row>
    <row r="96" spans="1:176" s="1" customFormat="1" ht="47.25" x14ac:dyDescent="0.2">
      <c r="A96" s="91" t="s">
        <v>164</v>
      </c>
      <c r="B96" s="18" t="s">
        <v>554</v>
      </c>
      <c r="C96" s="13"/>
      <c r="D96" s="135"/>
      <c r="E96" s="135"/>
      <c r="F96" s="21"/>
      <c r="G96" s="52"/>
      <c r="H96" s="34">
        <v>6</v>
      </c>
      <c r="I96" s="34" t="s">
        <v>402</v>
      </c>
      <c r="J96" s="75"/>
      <c r="K96" s="78"/>
      <c r="L96" s="76">
        <f t="shared" si="2"/>
        <v>0</v>
      </c>
      <c r="M96" s="113"/>
      <c r="N96" s="113" t="s">
        <v>1054</v>
      </c>
      <c r="O96" s="113"/>
      <c r="P96" s="112" t="s">
        <v>700</v>
      </c>
      <c r="Q96" s="112" t="s">
        <v>700</v>
      </c>
      <c r="R96" s="114" t="s">
        <v>701</v>
      </c>
      <c r="S96" s="148" t="s">
        <v>1105</v>
      </c>
      <c r="T96" s="114" t="s">
        <v>702</v>
      </c>
      <c r="U96" s="108" t="s">
        <v>663</v>
      </c>
      <c r="V96" s="107" t="s">
        <v>670</v>
      </c>
    </row>
    <row r="97" spans="1:176" s="1" customFormat="1" ht="47.25" x14ac:dyDescent="0.2">
      <c r="A97" s="91" t="s">
        <v>346</v>
      </c>
      <c r="B97" s="18" t="s">
        <v>1199</v>
      </c>
      <c r="C97" s="13"/>
      <c r="D97" s="135"/>
      <c r="E97" s="135"/>
      <c r="F97" s="21"/>
      <c r="G97" s="52"/>
      <c r="H97" s="34">
        <v>8</v>
      </c>
      <c r="I97" s="34" t="s">
        <v>403</v>
      </c>
      <c r="J97" s="75"/>
      <c r="K97" s="78"/>
      <c r="L97" s="76">
        <f t="shared" si="2"/>
        <v>0</v>
      </c>
      <c r="M97" s="113" t="s">
        <v>652</v>
      </c>
      <c r="N97" s="113" t="s">
        <v>1056</v>
      </c>
      <c r="O97" s="115" t="s">
        <v>1068</v>
      </c>
      <c r="P97" s="112" t="s">
        <v>700</v>
      </c>
      <c r="Q97" s="112" t="s">
        <v>700</v>
      </c>
      <c r="R97" s="114" t="s">
        <v>701</v>
      </c>
      <c r="S97" s="148" t="s">
        <v>1105</v>
      </c>
      <c r="T97" s="114" t="s">
        <v>702</v>
      </c>
      <c r="U97" s="108" t="s">
        <v>663</v>
      </c>
      <c r="V97" s="107" t="s">
        <v>670</v>
      </c>
    </row>
    <row r="98" spans="1:176" s="1" customFormat="1" ht="57" x14ac:dyDescent="0.2">
      <c r="A98" s="91" t="s">
        <v>165</v>
      </c>
      <c r="B98" s="18" t="s">
        <v>341</v>
      </c>
      <c r="C98" s="13"/>
      <c r="D98" s="135"/>
      <c r="E98" s="135"/>
      <c r="F98" s="21"/>
      <c r="G98" s="52" t="str">
        <f>IF(C98="","",IF(C98="Yes","","If not reviewed annually, please provide frequency. If not reviewed, please state plans to implement periodic access reviews."))</f>
        <v/>
      </c>
      <c r="H98" s="34">
        <v>7</v>
      </c>
      <c r="I98" s="34" t="s">
        <v>404</v>
      </c>
      <c r="J98" s="75"/>
      <c r="K98" s="78"/>
      <c r="L98" s="76">
        <f t="shared" si="2"/>
        <v>0</v>
      </c>
      <c r="M98" s="113"/>
      <c r="N98" s="113"/>
      <c r="O98" s="113"/>
      <c r="P98" s="112" t="s">
        <v>700</v>
      </c>
      <c r="Q98" s="112" t="s">
        <v>700</v>
      </c>
      <c r="R98" s="114" t="s">
        <v>661</v>
      </c>
      <c r="S98" s="143" t="s">
        <v>1091</v>
      </c>
      <c r="T98" s="114" t="s">
        <v>703</v>
      </c>
      <c r="U98" s="108" t="s">
        <v>663</v>
      </c>
      <c r="V98" s="117" t="s">
        <v>704</v>
      </c>
    </row>
    <row r="99" spans="1:176" s="1" customFormat="1" ht="31.5" x14ac:dyDescent="0.2">
      <c r="A99" s="91" t="s">
        <v>166</v>
      </c>
      <c r="B99" s="18" t="s">
        <v>1200</v>
      </c>
      <c r="C99" s="13"/>
      <c r="D99" s="135"/>
      <c r="E99" s="135"/>
      <c r="F99" s="21"/>
      <c r="G99" s="52" t="str">
        <f>IF(C99="","",IF(C99="Yes","","If not reviewed annually, please provide frequency. If not reviewed, please state plans to implement periodic access reviews."))</f>
        <v/>
      </c>
      <c r="H99" s="33">
        <v>9</v>
      </c>
      <c r="I99" s="34" t="s">
        <v>405</v>
      </c>
      <c r="J99" s="75"/>
      <c r="K99" s="78"/>
      <c r="L99" s="76">
        <f t="shared" si="2"/>
        <v>0</v>
      </c>
      <c r="M99" s="113"/>
      <c r="N99" s="113"/>
      <c r="O99" s="113"/>
      <c r="P99" s="112" t="s">
        <v>700</v>
      </c>
      <c r="Q99" s="112" t="s">
        <v>700</v>
      </c>
      <c r="R99" s="114" t="s">
        <v>661</v>
      </c>
      <c r="S99" s="143" t="s">
        <v>1091</v>
      </c>
      <c r="T99" s="114" t="s">
        <v>703</v>
      </c>
      <c r="U99" s="108" t="s">
        <v>663</v>
      </c>
      <c r="V99" s="117" t="s">
        <v>704</v>
      </c>
    </row>
    <row r="100" spans="1:176" s="1" customFormat="1" ht="31.5" x14ac:dyDescent="0.2">
      <c r="A100" s="91" t="s">
        <v>167</v>
      </c>
      <c r="B100" s="18" t="s">
        <v>100</v>
      </c>
      <c r="C100" s="13"/>
      <c r="D100" s="135"/>
      <c r="E100" s="135"/>
      <c r="F100" s="22"/>
      <c r="G100" s="52" t="str">
        <f>IF(C100="","",IF(C100="Yes","Submit documentation and/or web resources as to how remote access is provided, including security controls on the access (i.e., is multifactor authentication used?).","Provide details that prevent this capability."))</f>
        <v/>
      </c>
      <c r="H100" s="33"/>
      <c r="I100" s="34"/>
      <c r="J100" s="75"/>
      <c r="K100" s="78"/>
      <c r="L100" s="76">
        <f t="shared" si="2"/>
        <v>0</v>
      </c>
      <c r="M100" s="113"/>
      <c r="N100" s="113" t="s">
        <v>1057</v>
      </c>
      <c r="O100" s="113"/>
      <c r="P100" s="112" t="s">
        <v>705</v>
      </c>
      <c r="Q100" s="112" t="s">
        <v>706</v>
      </c>
      <c r="R100" s="112" t="s">
        <v>707</v>
      </c>
      <c r="S100" s="143" t="s">
        <v>1114</v>
      </c>
      <c r="T100" s="114" t="s">
        <v>708</v>
      </c>
      <c r="U100" s="108" t="s">
        <v>709</v>
      </c>
      <c r="V100" s="107" t="s">
        <v>692</v>
      </c>
    </row>
    <row r="101" spans="1:176" s="1" customFormat="1" ht="63" x14ac:dyDescent="0.2">
      <c r="A101" s="91" t="s">
        <v>168</v>
      </c>
      <c r="B101" s="18" t="s">
        <v>1201</v>
      </c>
      <c r="C101" s="13"/>
      <c r="D101" s="135"/>
      <c r="E101" s="135"/>
      <c r="F101" s="22"/>
      <c r="G101" s="52"/>
      <c r="H101" s="33">
        <v>14</v>
      </c>
      <c r="I101" s="34" t="s">
        <v>406</v>
      </c>
      <c r="J101" s="75"/>
      <c r="K101" s="78"/>
      <c r="L101" s="76">
        <f t="shared" si="2"/>
        <v>0</v>
      </c>
      <c r="M101" s="113"/>
      <c r="N101" s="115" t="s">
        <v>1058</v>
      </c>
      <c r="O101" s="113"/>
      <c r="P101" s="112" t="s">
        <v>705</v>
      </c>
      <c r="Q101" s="112" t="s">
        <v>706</v>
      </c>
      <c r="R101" s="114" t="s">
        <v>1034</v>
      </c>
      <c r="S101" s="148" t="s">
        <v>1115</v>
      </c>
      <c r="T101" s="114" t="s">
        <v>710</v>
      </c>
      <c r="U101" s="108" t="s">
        <v>709</v>
      </c>
      <c r="V101" s="107" t="s">
        <v>670</v>
      </c>
    </row>
    <row r="102" spans="1:176" s="1" customFormat="1" ht="63" x14ac:dyDescent="0.2">
      <c r="A102" s="91" t="s">
        <v>169</v>
      </c>
      <c r="B102" s="18" t="s">
        <v>1202</v>
      </c>
      <c r="C102" s="13"/>
      <c r="D102" s="135"/>
      <c r="E102" s="135"/>
      <c r="F102" s="21"/>
      <c r="G102" s="53" t="str">
        <f>IF(C102="","",IF(C102="Yes","Please describe the reason for remote access as well as the process for achieving it.","Please describe in sufficient detail."))</f>
        <v/>
      </c>
      <c r="H102" s="33">
        <v>15</v>
      </c>
      <c r="I102" s="34" t="s">
        <v>407</v>
      </c>
      <c r="J102" s="75"/>
      <c r="K102" s="78"/>
      <c r="L102" s="76">
        <f t="shared" si="2"/>
        <v>0</v>
      </c>
      <c r="M102" s="113" t="s">
        <v>688</v>
      </c>
      <c r="N102" s="115" t="s">
        <v>1059</v>
      </c>
      <c r="O102" s="113"/>
      <c r="P102" s="112" t="s">
        <v>705</v>
      </c>
      <c r="Q102" s="112" t="s">
        <v>706</v>
      </c>
      <c r="R102" s="112" t="s">
        <v>707</v>
      </c>
      <c r="S102" s="148" t="s">
        <v>1116</v>
      </c>
      <c r="T102" s="114" t="s">
        <v>710</v>
      </c>
      <c r="U102" s="108" t="s">
        <v>709</v>
      </c>
      <c r="V102" s="107" t="s">
        <v>692</v>
      </c>
    </row>
    <row r="103" spans="1:176" s="1" customFormat="1" ht="63" x14ac:dyDescent="0.2">
      <c r="A103" s="91" t="s">
        <v>170</v>
      </c>
      <c r="B103" s="18" t="s">
        <v>1203</v>
      </c>
      <c r="C103" s="13"/>
      <c r="D103" s="135"/>
      <c r="E103" s="135"/>
      <c r="F103" s="21"/>
      <c r="G103" s="53" t="str">
        <f>IF(C103="","",IF(C103="Yes","Please describe how remote access sessions are ended.",""))</f>
        <v/>
      </c>
      <c r="H103" s="33">
        <v>17</v>
      </c>
      <c r="I103" s="34" t="s">
        <v>408</v>
      </c>
      <c r="J103" s="75"/>
      <c r="K103" s="78"/>
      <c r="L103" s="76">
        <f t="shared" si="2"/>
        <v>0</v>
      </c>
      <c r="M103" s="113"/>
      <c r="N103" s="115" t="s">
        <v>1053</v>
      </c>
      <c r="O103" s="113"/>
      <c r="P103" s="112" t="s">
        <v>705</v>
      </c>
      <c r="Q103" s="114" t="s">
        <v>711</v>
      </c>
      <c r="R103" s="114" t="s">
        <v>712</v>
      </c>
      <c r="S103" s="148" t="s">
        <v>1117</v>
      </c>
      <c r="T103" s="114" t="s">
        <v>713</v>
      </c>
      <c r="U103" s="108" t="s">
        <v>709</v>
      </c>
      <c r="V103" s="107"/>
    </row>
    <row r="104" spans="1:176" s="1" customFormat="1" ht="31.5" x14ac:dyDescent="0.2">
      <c r="A104" s="91" t="s">
        <v>171</v>
      </c>
      <c r="B104" s="18" t="s">
        <v>1095</v>
      </c>
      <c r="C104" s="13"/>
      <c r="D104" s="135"/>
      <c r="E104" s="135"/>
      <c r="F104" s="21"/>
      <c r="G104" s="53" t="str">
        <f>IF(C104="","",IF(C104="Yes","Please describe how this is accomplished.",""))</f>
        <v/>
      </c>
      <c r="H104" s="33">
        <v>19</v>
      </c>
      <c r="I104" s="34" t="s">
        <v>409</v>
      </c>
      <c r="J104" s="75"/>
      <c r="K104" s="78"/>
      <c r="L104" s="76">
        <f t="shared" si="2"/>
        <v>0</v>
      </c>
      <c r="M104" s="113"/>
      <c r="N104" s="113"/>
      <c r="O104" s="113"/>
      <c r="P104" s="114" t="s">
        <v>714</v>
      </c>
      <c r="Q104" s="114" t="s">
        <v>714</v>
      </c>
      <c r="R104" s="114" t="s">
        <v>715</v>
      </c>
      <c r="S104" s="148" t="s">
        <v>1118</v>
      </c>
      <c r="T104" s="114" t="s">
        <v>716</v>
      </c>
      <c r="U104" s="108" t="s">
        <v>717</v>
      </c>
      <c r="V104" s="107" t="s">
        <v>718</v>
      </c>
    </row>
    <row r="105" spans="1:176" ht="63" x14ac:dyDescent="0.2">
      <c r="A105" s="91" t="s">
        <v>172</v>
      </c>
      <c r="B105" s="18" t="s">
        <v>138</v>
      </c>
      <c r="C105" s="13"/>
      <c r="D105" s="135"/>
      <c r="E105" s="135"/>
      <c r="F105" s="19"/>
      <c r="G105" s="53" t="str">
        <f>IF(C105="","",IF(C105="Yes","Describe how aging requirements are implemented, including expiration timeframes.","Describe plans to support password/passphrase aging requirements."))</f>
        <v/>
      </c>
      <c r="H105" s="33"/>
      <c r="I105" s="34"/>
      <c r="J105" s="75"/>
      <c r="K105" s="78"/>
      <c r="L105" s="76">
        <f t="shared" si="2"/>
        <v>0</v>
      </c>
      <c r="M105" s="113"/>
      <c r="N105" s="113"/>
      <c r="O105" s="113"/>
      <c r="P105" s="112"/>
      <c r="Q105" s="112" t="s">
        <v>719</v>
      </c>
      <c r="R105" s="112" t="s">
        <v>720</v>
      </c>
      <c r="S105" s="143" t="s">
        <v>1113</v>
      </c>
      <c r="T105" s="114" t="s">
        <v>721</v>
      </c>
      <c r="U105" s="108" t="s">
        <v>696</v>
      </c>
      <c r="V105" s="107" t="s">
        <v>692</v>
      </c>
      <c r="FT105"/>
    </row>
    <row r="106" spans="1:176" s="1" customFormat="1" ht="63" x14ac:dyDescent="0.2">
      <c r="A106" s="91" t="s">
        <v>173</v>
      </c>
      <c r="B106" s="18" t="s">
        <v>134</v>
      </c>
      <c r="C106" s="13"/>
      <c r="D106" s="135"/>
      <c r="E106" s="135"/>
      <c r="F106" s="19"/>
      <c r="G106" s="53"/>
      <c r="H106" s="33"/>
      <c r="I106" s="34"/>
      <c r="J106" s="75"/>
      <c r="K106" s="78"/>
      <c r="L106" s="76">
        <f t="shared" si="2"/>
        <v>0</v>
      </c>
      <c r="M106" s="113"/>
      <c r="N106" s="113"/>
      <c r="O106" s="113"/>
      <c r="P106" s="112"/>
      <c r="Q106" s="112" t="s">
        <v>719</v>
      </c>
      <c r="R106" s="112" t="s">
        <v>722</v>
      </c>
      <c r="S106" s="143" t="s">
        <v>1113</v>
      </c>
      <c r="T106" s="114" t="s">
        <v>723</v>
      </c>
      <c r="U106" s="108" t="s">
        <v>696</v>
      </c>
      <c r="V106" s="107" t="s">
        <v>692</v>
      </c>
    </row>
    <row r="107" spans="1:176" s="1" customFormat="1" ht="63" x14ac:dyDescent="0.2">
      <c r="A107" s="90" t="s">
        <v>576</v>
      </c>
      <c r="B107" s="18" t="s">
        <v>577</v>
      </c>
      <c r="C107" s="13"/>
      <c r="D107" s="135"/>
      <c r="E107" s="135"/>
      <c r="F107" s="19"/>
      <c r="G107" s="53" t="str">
        <f>IF(C107="","",IF(C107="Yes","Describe your policy for preventing the use of shared accounts and shared credentials.","Describe plans to prevent the use of shared accounts and shared passwords."))</f>
        <v/>
      </c>
      <c r="H107" s="33"/>
      <c r="I107" s="34"/>
      <c r="J107" s="75"/>
      <c r="K107" s="78"/>
      <c r="L107" s="76">
        <f t="shared" si="2"/>
        <v>0</v>
      </c>
      <c r="M107" s="113"/>
      <c r="N107" s="113"/>
      <c r="O107" s="113"/>
      <c r="P107" s="112"/>
      <c r="Q107" s="112" t="s">
        <v>700</v>
      </c>
      <c r="R107" s="112" t="s">
        <v>724</v>
      </c>
      <c r="S107" s="143" t="s">
        <v>1119</v>
      </c>
      <c r="T107" s="114" t="s">
        <v>749</v>
      </c>
      <c r="U107" s="108" t="s">
        <v>725</v>
      </c>
      <c r="V107" s="107"/>
    </row>
    <row r="108" spans="1:176" s="1" customFormat="1" ht="28.5" x14ac:dyDescent="0.2">
      <c r="A108" s="91" t="s">
        <v>174</v>
      </c>
      <c r="B108" s="18" t="s">
        <v>103</v>
      </c>
      <c r="C108" s="13"/>
      <c r="D108" s="135"/>
      <c r="E108" s="135"/>
      <c r="F108" s="23"/>
      <c r="G108" s="53" t="str">
        <f>IF(C108="","",IF(C108="Yes","Describe your documented password/passphrase reset procedures that are currently implemented in the system and/or customer support.","Describe your plans to document system password/passphrase reset procedures."))</f>
        <v/>
      </c>
      <c r="H108" s="33"/>
      <c r="I108" s="34"/>
      <c r="J108" s="75"/>
      <c r="K108" s="78"/>
      <c r="L108" s="76">
        <f t="shared" si="2"/>
        <v>0</v>
      </c>
      <c r="M108" s="113"/>
      <c r="N108" s="113"/>
      <c r="O108" s="113"/>
      <c r="P108" s="112"/>
      <c r="Q108" s="112" t="s">
        <v>719</v>
      </c>
      <c r="R108" s="112"/>
      <c r="S108" s="112"/>
      <c r="T108" s="112"/>
      <c r="U108" s="108"/>
      <c r="V108" s="107" t="s">
        <v>692</v>
      </c>
    </row>
    <row r="109" spans="1:176" s="1" customFormat="1" ht="18" x14ac:dyDescent="0.2">
      <c r="A109" s="91" t="s">
        <v>175</v>
      </c>
      <c r="B109" s="18" t="s">
        <v>104</v>
      </c>
      <c r="C109" s="13"/>
      <c r="D109" s="135"/>
      <c r="E109" s="135"/>
      <c r="F109" s="19"/>
      <c r="G109" s="53" t="str">
        <f>IF(C109="","",IF(C109="Yes","Provide a detailed description of passwords/passphrases hard-coded into your systems or products.",""))</f>
        <v/>
      </c>
      <c r="H109" s="33"/>
      <c r="I109" s="34"/>
      <c r="J109" s="75"/>
      <c r="K109" s="78"/>
      <c r="L109" s="76">
        <f t="shared" si="2"/>
        <v>0</v>
      </c>
      <c r="M109" s="113"/>
      <c r="N109" s="113"/>
      <c r="O109" s="113"/>
      <c r="P109" s="112"/>
      <c r="Q109" s="112"/>
      <c r="R109" s="112"/>
      <c r="S109" s="112"/>
      <c r="T109" s="112"/>
      <c r="U109" s="108"/>
      <c r="V109" s="107"/>
    </row>
    <row r="110" spans="1:176" s="1" customFormat="1" ht="18" x14ac:dyDescent="0.2">
      <c r="A110" s="91" t="s">
        <v>176</v>
      </c>
      <c r="B110" s="18" t="s">
        <v>105</v>
      </c>
      <c r="C110" s="13"/>
      <c r="D110" s="135"/>
      <c r="E110" s="135"/>
      <c r="F110" s="19"/>
      <c r="G110" s="53" t="str">
        <f>IF(C110="","",IF(C110="Yes","Provide a detailed description stating why user account passwords/passphrases are visible by administrators.",""))</f>
        <v/>
      </c>
      <c r="H110" s="33"/>
      <c r="I110" s="34"/>
      <c r="J110" s="75"/>
      <c r="K110" s="78"/>
      <c r="L110" s="76">
        <f t="shared" si="2"/>
        <v>0</v>
      </c>
      <c r="M110" s="113"/>
      <c r="N110" s="113"/>
      <c r="O110" s="113"/>
      <c r="P110" s="112"/>
      <c r="Q110" s="112"/>
      <c r="R110" s="112"/>
      <c r="S110" s="112"/>
      <c r="T110" s="112"/>
      <c r="U110" s="108"/>
      <c r="V110" s="107"/>
    </row>
    <row r="111" spans="1:176" s="1" customFormat="1" ht="47.25" x14ac:dyDescent="0.2">
      <c r="A111" s="91" t="s">
        <v>255</v>
      </c>
      <c r="B111" s="18" t="s">
        <v>584</v>
      </c>
      <c r="C111" s="13"/>
      <c r="D111" s="135"/>
      <c r="E111" s="135"/>
      <c r="F111" s="19"/>
      <c r="G111" s="53" t="str">
        <f>IF(C111="","",IF(C111="Yes","Describe or provide a reference to the algorithm/strategy that is used to encrypt in transit and at rest passwords/passphrases/credentials.","Provide a detailed description stating why user account passwords/passphrases/credentials are not encrypted in transit and at rest."))</f>
        <v/>
      </c>
      <c r="H111" s="33"/>
      <c r="I111" s="34"/>
      <c r="J111" s="75"/>
      <c r="K111" s="78"/>
      <c r="L111" s="76">
        <f t="shared" si="2"/>
        <v>0</v>
      </c>
      <c r="M111" s="113"/>
      <c r="N111" s="113"/>
      <c r="O111" s="113"/>
      <c r="P111" s="112" t="s">
        <v>726</v>
      </c>
      <c r="Q111" s="114" t="s">
        <v>727</v>
      </c>
      <c r="R111" s="112" t="s">
        <v>728</v>
      </c>
      <c r="S111" s="148" t="s">
        <v>1145</v>
      </c>
      <c r="T111" s="114" t="s">
        <v>729</v>
      </c>
      <c r="U111" s="108" t="s">
        <v>730</v>
      </c>
      <c r="V111" s="117" t="s">
        <v>731</v>
      </c>
    </row>
    <row r="112" spans="1:176" s="1" customFormat="1" ht="99.75" x14ac:dyDescent="0.2">
      <c r="A112" s="91" t="s">
        <v>257</v>
      </c>
      <c r="B112" s="18" t="s">
        <v>470</v>
      </c>
      <c r="C112" s="48"/>
      <c r="D112" s="135"/>
      <c r="E112" s="135"/>
      <c r="F112" s="19"/>
      <c r="G112" s="53" t="s">
        <v>136</v>
      </c>
      <c r="H112" s="33"/>
      <c r="I112" s="34"/>
      <c r="J112" s="75"/>
      <c r="K112" s="78"/>
      <c r="L112" s="76">
        <f t="shared" si="2"/>
        <v>0</v>
      </c>
      <c r="M112" s="113"/>
      <c r="N112" s="113" t="s">
        <v>1055</v>
      </c>
      <c r="O112" s="113" t="s">
        <v>1069</v>
      </c>
      <c r="P112" s="112" t="s">
        <v>693</v>
      </c>
      <c r="Q112" s="114" t="s">
        <v>732</v>
      </c>
      <c r="R112" s="114" t="s">
        <v>694</v>
      </c>
      <c r="S112" s="143" t="s">
        <v>1113</v>
      </c>
      <c r="T112" s="114" t="s">
        <v>733</v>
      </c>
      <c r="U112" s="108"/>
      <c r="V112" s="107"/>
    </row>
    <row r="113" spans="1:22" s="1" customFormat="1" ht="31.5" x14ac:dyDescent="0.2">
      <c r="A113" s="91" t="s">
        <v>259</v>
      </c>
      <c r="B113" s="18" t="s">
        <v>471</v>
      </c>
      <c r="C113" s="48"/>
      <c r="D113" s="135"/>
      <c r="E113" s="135"/>
      <c r="F113" s="19"/>
      <c r="G113" s="53"/>
      <c r="H113" s="33"/>
      <c r="I113" s="34"/>
      <c r="J113" s="75"/>
      <c r="K113" s="78"/>
      <c r="L113" s="76">
        <f t="shared" si="2"/>
        <v>0</v>
      </c>
      <c r="M113" s="113"/>
      <c r="N113" s="113"/>
      <c r="O113" s="113"/>
      <c r="P113" s="112" t="s">
        <v>693</v>
      </c>
      <c r="Q113" s="114" t="s">
        <v>732</v>
      </c>
      <c r="R113" s="112"/>
      <c r="S113" s="112"/>
      <c r="T113" s="112"/>
      <c r="U113" s="108"/>
      <c r="V113" s="107"/>
    </row>
    <row r="114" spans="1:22" s="1" customFormat="1" ht="28.5" x14ac:dyDescent="0.2">
      <c r="A114" s="91" t="s">
        <v>260</v>
      </c>
      <c r="B114" s="18" t="s">
        <v>472</v>
      </c>
      <c r="C114" s="13"/>
      <c r="D114" s="135"/>
      <c r="E114" s="135"/>
      <c r="F114" s="19"/>
      <c r="G114" s="53" t="str">
        <f>IF(C114="","",IF(C114="Yes","Describe all authentication services supported by the system.","Describe any plans to support external authentication services in place of local authentication."))</f>
        <v/>
      </c>
      <c r="H114" s="33"/>
      <c r="I114" s="34"/>
      <c r="J114" s="75"/>
      <c r="K114" s="78"/>
      <c r="L114" s="76">
        <f t="shared" si="2"/>
        <v>0</v>
      </c>
      <c r="M114" s="113"/>
      <c r="N114" s="113"/>
      <c r="O114" s="113"/>
      <c r="P114" s="112"/>
      <c r="Q114" s="112"/>
      <c r="R114" s="112"/>
      <c r="S114" s="112"/>
      <c r="T114" s="112" t="s">
        <v>662</v>
      </c>
      <c r="U114" s="108"/>
      <c r="V114" s="107"/>
    </row>
    <row r="115" spans="1:22" s="1" customFormat="1" ht="47.25" x14ac:dyDescent="0.2">
      <c r="A115" s="91" t="s">
        <v>261</v>
      </c>
      <c r="B115" s="18" t="s">
        <v>252</v>
      </c>
      <c r="C115" s="13"/>
      <c r="D115" s="135"/>
      <c r="E115" s="135"/>
      <c r="F115" s="19"/>
      <c r="G115" s="53" t="str">
        <f>IF(C115="","",IF(C115="Yes","Provide a description of logging capabilities. Ensure that all elements of IAM-24 are evaluated for your response.","Describe any plans to enable audit logs for these data elements."))</f>
        <v/>
      </c>
      <c r="H115" s="33"/>
      <c r="I115" s="34"/>
      <c r="J115" s="75"/>
      <c r="K115" s="78"/>
      <c r="L115" s="76">
        <f t="shared" si="2"/>
        <v>0</v>
      </c>
      <c r="M115" s="113"/>
      <c r="N115" s="113"/>
      <c r="O115" s="113"/>
      <c r="P115" s="114" t="s">
        <v>734</v>
      </c>
      <c r="Q115" s="114" t="s">
        <v>735</v>
      </c>
      <c r="R115" s="112" t="s">
        <v>736</v>
      </c>
      <c r="S115" s="143" t="s">
        <v>1165</v>
      </c>
      <c r="T115" s="112" t="s">
        <v>737</v>
      </c>
      <c r="U115" s="108" t="s">
        <v>738</v>
      </c>
      <c r="V115" s="107" t="s">
        <v>739</v>
      </c>
    </row>
    <row r="116" spans="1:22" s="1" customFormat="1" ht="57" x14ac:dyDescent="0.2">
      <c r="A116" s="91" t="s">
        <v>283</v>
      </c>
      <c r="B116" s="18" t="s">
        <v>487</v>
      </c>
      <c r="C116" s="129"/>
      <c r="D116" s="136"/>
      <c r="E116" s="136"/>
      <c r="F116" s="130"/>
      <c r="G116" s="53" t="s">
        <v>527</v>
      </c>
      <c r="H116" s="33"/>
      <c r="I116" s="34"/>
      <c r="J116" s="75"/>
      <c r="K116" s="78"/>
      <c r="L116" s="76">
        <f t="shared" si="2"/>
        <v>0</v>
      </c>
      <c r="M116" s="113"/>
      <c r="N116" s="113"/>
      <c r="O116" s="113"/>
      <c r="P116" s="112"/>
      <c r="Q116" s="112"/>
      <c r="R116" s="112"/>
      <c r="S116" s="112"/>
      <c r="T116" s="112"/>
      <c r="U116" s="108"/>
      <c r="V116" s="107"/>
    </row>
    <row r="117" spans="1:22" s="1" customFormat="1" ht="63" x14ac:dyDescent="0.2">
      <c r="A117" s="91" t="s">
        <v>284</v>
      </c>
      <c r="B117" s="18" t="s">
        <v>1043</v>
      </c>
      <c r="C117" s="13"/>
      <c r="D117" s="135"/>
      <c r="E117" s="135"/>
      <c r="F117" s="22"/>
      <c r="G117" s="93" t="str">
        <f>IF(C117="","",IF(C117="Yes","Describe how this is accomplished.","Describe any plans to implement role-based access controls for end users/administrators, as well as how access/what levels of access are currently granted to administrators."))</f>
        <v/>
      </c>
      <c r="H117" s="33"/>
      <c r="I117" s="34"/>
      <c r="J117" s="75"/>
      <c r="K117" s="78"/>
      <c r="L117" s="76">
        <f t="shared" si="2"/>
        <v>0</v>
      </c>
      <c r="M117" s="113"/>
      <c r="N117" s="113"/>
      <c r="O117" s="113"/>
      <c r="P117" s="114" t="s">
        <v>659</v>
      </c>
      <c r="Q117" s="114" t="s">
        <v>659</v>
      </c>
      <c r="R117" s="114" t="s">
        <v>661</v>
      </c>
      <c r="S117" s="114" t="s">
        <v>1121</v>
      </c>
      <c r="T117" s="114" t="s">
        <v>740</v>
      </c>
      <c r="U117" s="108" t="s">
        <v>741</v>
      </c>
      <c r="V117" s="107" t="s">
        <v>664</v>
      </c>
    </row>
    <row r="118" spans="1:22" s="1" customFormat="1" ht="63" x14ac:dyDescent="0.2">
      <c r="A118" s="91" t="s">
        <v>314</v>
      </c>
      <c r="B118" s="18" t="s">
        <v>489</v>
      </c>
      <c r="C118" s="48"/>
      <c r="D118" s="135"/>
      <c r="E118" s="135"/>
      <c r="F118" s="22"/>
      <c r="G118" s="52" t="s">
        <v>258</v>
      </c>
      <c r="H118" s="33"/>
      <c r="I118" s="34"/>
      <c r="J118" s="75"/>
      <c r="K118" s="78"/>
      <c r="L118" s="76">
        <f t="shared" si="2"/>
        <v>0</v>
      </c>
      <c r="M118" s="113"/>
      <c r="N118" s="113"/>
      <c r="O118" s="113"/>
      <c r="P118" s="112" t="s">
        <v>742</v>
      </c>
      <c r="Q118" s="112" t="s">
        <v>742</v>
      </c>
      <c r="R118" s="112" t="s">
        <v>743</v>
      </c>
      <c r="S118" s="143" t="s">
        <v>1120</v>
      </c>
      <c r="T118" s="114" t="s">
        <v>744</v>
      </c>
      <c r="U118" s="108" t="s">
        <v>745</v>
      </c>
      <c r="V118" s="107" t="s">
        <v>664</v>
      </c>
    </row>
    <row r="119" spans="1:22" s="1" customFormat="1" ht="63" x14ac:dyDescent="0.2">
      <c r="A119" s="91" t="s">
        <v>347</v>
      </c>
      <c r="B119" s="18" t="s">
        <v>244</v>
      </c>
      <c r="C119" s="13"/>
      <c r="D119" s="135"/>
      <c r="E119" s="135"/>
      <c r="F119" s="22"/>
      <c r="G119" s="54" t="str">
        <f>IF(C119="","",IF(C119="Yes","Describe or attach your policy or process.","Describe how the provisioning and administration of administrative accounts is currently carried out, as well as any plans to implement such a policy or process."))</f>
        <v/>
      </c>
      <c r="H119" s="33"/>
      <c r="I119" s="34"/>
      <c r="J119" s="75"/>
      <c r="K119" s="78"/>
      <c r="L119" s="76">
        <f t="shared" si="2"/>
        <v>0</v>
      </c>
      <c r="M119" s="113"/>
      <c r="N119" s="113"/>
      <c r="O119" s="113"/>
      <c r="P119" s="114" t="s">
        <v>746</v>
      </c>
      <c r="Q119" s="114" t="s">
        <v>746</v>
      </c>
      <c r="R119" s="114" t="s">
        <v>661</v>
      </c>
      <c r="S119" s="114" t="s">
        <v>1121</v>
      </c>
      <c r="T119" s="114" t="s">
        <v>747</v>
      </c>
      <c r="U119" s="108" t="s">
        <v>745</v>
      </c>
      <c r="V119" s="107" t="s">
        <v>664</v>
      </c>
    </row>
    <row r="120" spans="1:22" s="1" customFormat="1" ht="47.25" x14ac:dyDescent="0.2">
      <c r="A120" s="91" t="s">
        <v>411</v>
      </c>
      <c r="B120" s="18" t="s">
        <v>488</v>
      </c>
      <c r="C120" s="13"/>
      <c r="D120" s="135"/>
      <c r="E120" s="135"/>
      <c r="F120" s="22"/>
      <c r="G120" s="53" t="str">
        <f>IF(C120="","",IF(C120="Yes","Provide a brief summary and the review interval.","Describe plans to implement privileged account access-list reviews to your environment."))</f>
        <v/>
      </c>
      <c r="H120" s="33"/>
      <c r="I120" s="34"/>
      <c r="J120" s="75"/>
      <c r="K120" s="78"/>
      <c r="L120" s="76">
        <f t="shared" si="2"/>
        <v>0</v>
      </c>
      <c r="M120" s="113"/>
      <c r="N120" s="113"/>
      <c r="O120" s="113"/>
      <c r="P120" s="112" t="s">
        <v>700</v>
      </c>
      <c r="Q120" s="112" t="s">
        <v>700</v>
      </c>
      <c r="R120" s="114" t="s">
        <v>661</v>
      </c>
      <c r="S120" s="143" t="s">
        <v>1091</v>
      </c>
      <c r="T120" s="114" t="s">
        <v>748</v>
      </c>
      <c r="U120" s="108" t="s">
        <v>663</v>
      </c>
      <c r="V120" s="107" t="s">
        <v>670</v>
      </c>
    </row>
    <row r="121" spans="1:22" s="1" customFormat="1" ht="108" x14ac:dyDescent="0.2">
      <c r="A121" s="190" t="s">
        <v>143</v>
      </c>
      <c r="B121" s="190"/>
      <c r="C121" s="141" t="str">
        <f>"Response for " &amp; C45</f>
        <v>Response for Supplier Systems</v>
      </c>
      <c r="D121" s="132" t="s">
        <v>526</v>
      </c>
      <c r="E121" s="132" t="s">
        <v>99</v>
      </c>
      <c r="F121" s="2" t="s">
        <v>17</v>
      </c>
      <c r="G121" s="2" t="s">
        <v>18</v>
      </c>
      <c r="H121" s="2" t="s">
        <v>339</v>
      </c>
      <c r="I121" s="2" t="s">
        <v>365</v>
      </c>
      <c r="J121" s="224" t="s">
        <v>566</v>
      </c>
      <c r="K121" s="225"/>
      <c r="L121" s="74">
        <f>SUM(L122:L141)</f>
        <v>0</v>
      </c>
      <c r="M121" s="94" t="s">
        <v>602</v>
      </c>
      <c r="N121" s="94" t="s">
        <v>603</v>
      </c>
      <c r="O121" s="94" t="s">
        <v>604</v>
      </c>
      <c r="P121" s="95" t="s">
        <v>605</v>
      </c>
      <c r="Q121" s="95" t="s">
        <v>606</v>
      </c>
      <c r="R121" s="95" t="s">
        <v>607</v>
      </c>
      <c r="S121" s="96" t="s">
        <v>1086</v>
      </c>
      <c r="T121" s="97" t="s">
        <v>610</v>
      </c>
      <c r="U121" s="95" t="s">
        <v>613</v>
      </c>
      <c r="V121" s="95" t="s">
        <v>617</v>
      </c>
    </row>
    <row r="122" spans="1:22" s="1" customFormat="1" ht="28.5" x14ac:dyDescent="0.2">
      <c r="A122" s="90" t="s">
        <v>177</v>
      </c>
      <c r="B122" s="18" t="s">
        <v>1204</v>
      </c>
      <c r="C122" s="13"/>
      <c r="D122" s="135"/>
      <c r="E122" s="135"/>
      <c r="F122" s="19"/>
      <c r="G122" s="53" t="str">
        <f>IF(C122="","",IF(C122="Yes","Provide a reference to your BCP and supporting documentation or submit it along with this fully-populated questionnaire. Please also describe how you ensure data availability in the event of the loss of systems or facilities.","Briefly summarize your response."))</f>
        <v/>
      </c>
      <c r="H122" s="33">
        <v>21</v>
      </c>
      <c r="I122" s="34" t="s">
        <v>412</v>
      </c>
      <c r="J122" s="75"/>
      <c r="K122" s="78"/>
      <c r="L122" s="76">
        <f t="shared" si="2"/>
        <v>0</v>
      </c>
      <c r="M122" s="113"/>
      <c r="N122" s="113"/>
      <c r="O122" s="113"/>
      <c r="P122" s="112" t="s">
        <v>753</v>
      </c>
      <c r="Q122" s="112" t="s">
        <v>753</v>
      </c>
      <c r="R122" s="112"/>
      <c r="S122" s="143" t="s">
        <v>1125</v>
      </c>
      <c r="T122" s="112" t="s">
        <v>754</v>
      </c>
      <c r="U122" s="108" t="s">
        <v>755</v>
      </c>
      <c r="V122" s="107" t="s">
        <v>756</v>
      </c>
    </row>
    <row r="123" spans="1:22" s="1" customFormat="1" ht="18" x14ac:dyDescent="0.2">
      <c r="A123" s="90" t="s">
        <v>178</v>
      </c>
      <c r="B123" s="18" t="s">
        <v>33</v>
      </c>
      <c r="C123" s="13"/>
      <c r="D123" s="135"/>
      <c r="E123" s="135"/>
      <c r="F123" s="19"/>
      <c r="G123" s="53" t="str">
        <f>IF(C123="","",IF(C123="Yes","Describe your BCP component review strategy.","Describe any plans to annually review and update (as needed) your BCP."))</f>
        <v/>
      </c>
      <c r="H123" s="33"/>
      <c r="I123" s="34" t="s">
        <v>413</v>
      </c>
      <c r="J123" s="75"/>
      <c r="K123" s="78"/>
      <c r="L123" s="76">
        <f t="shared" si="2"/>
        <v>0</v>
      </c>
      <c r="M123" s="113"/>
      <c r="N123" s="113"/>
      <c r="O123" s="113"/>
      <c r="P123" s="112" t="s">
        <v>753</v>
      </c>
      <c r="Q123" s="112" t="s">
        <v>753</v>
      </c>
      <c r="R123" s="112"/>
      <c r="S123" s="143" t="s">
        <v>1125</v>
      </c>
      <c r="T123" s="112" t="s">
        <v>754</v>
      </c>
      <c r="U123" s="108" t="s">
        <v>755</v>
      </c>
      <c r="V123" s="107" t="s">
        <v>756</v>
      </c>
    </row>
    <row r="124" spans="1:22" s="1" customFormat="1" ht="18" x14ac:dyDescent="0.2">
      <c r="A124" s="91" t="s">
        <v>179</v>
      </c>
      <c r="B124" s="18" t="s">
        <v>34</v>
      </c>
      <c r="C124" s="13"/>
      <c r="D124" s="135"/>
      <c r="E124" s="135"/>
      <c r="F124" s="19"/>
      <c r="G124" s="53" t="str">
        <f>IF(C124="","",IF(C124="Yes","State the date of your last BCP test.","Describe your strategy to implement annual BCP testing."))</f>
        <v/>
      </c>
      <c r="H124" s="33"/>
      <c r="I124" s="34"/>
      <c r="J124" s="75"/>
      <c r="K124" s="78"/>
      <c r="L124" s="76">
        <f t="shared" si="2"/>
        <v>0</v>
      </c>
      <c r="M124" s="113"/>
      <c r="N124" s="113"/>
      <c r="O124" s="113"/>
      <c r="P124" s="112" t="s">
        <v>757</v>
      </c>
      <c r="Q124" s="112" t="s">
        <v>757</v>
      </c>
      <c r="R124" s="112"/>
      <c r="S124" s="143" t="s">
        <v>1144</v>
      </c>
      <c r="T124" s="112" t="s">
        <v>758</v>
      </c>
      <c r="U124" s="108" t="s">
        <v>755</v>
      </c>
      <c r="V124" s="107" t="s">
        <v>759</v>
      </c>
    </row>
    <row r="125" spans="1:22" s="1" customFormat="1" ht="31.5" x14ac:dyDescent="0.2">
      <c r="A125" s="90" t="s">
        <v>180</v>
      </c>
      <c r="B125" s="18" t="s">
        <v>1099</v>
      </c>
      <c r="C125" s="13"/>
      <c r="D125" s="135"/>
      <c r="E125" s="135"/>
      <c r="F125" s="19"/>
      <c r="G125" s="93" t="str">
        <f>IF(C125="","",IF(C125="Yes","Provide your data privacy document, including frequency of updates. " &amp; "Indicate if the process ensures collection, storage, use, access, sharing, transport, retention and deletion of data in accordance with applicable law, privacy policy, privacy notices, and industry standard practices.","Describe plans to implement a data privacy process."))</f>
        <v/>
      </c>
      <c r="H125" s="33"/>
      <c r="I125" s="34" t="s">
        <v>414</v>
      </c>
      <c r="J125" s="75"/>
      <c r="K125" s="78"/>
      <c r="L125" s="76">
        <f t="shared" si="2"/>
        <v>0</v>
      </c>
      <c r="M125" s="113"/>
      <c r="N125" s="113"/>
      <c r="O125" s="113"/>
      <c r="P125" s="112" t="s">
        <v>651</v>
      </c>
      <c r="Q125" s="112" t="s">
        <v>651</v>
      </c>
      <c r="R125" s="112"/>
      <c r="S125" s="148" t="s">
        <v>1126</v>
      </c>
      <c r="T125" s="112"/>
      <c r="U125" s="108" t="s">
        <v>760</v>
      </c>
      <c r="V125" s="107" t="s">
        <v>761</v>
      </c>
    </row>
    <row r="126" spans="1:22" s="1" customFormat="1" ht="42.75" x14ac:dyDescent="0.2">
      <c r="A126" s="90" t="s">
        <v>181</v>
      </c>
      <c r="B126" s="18" t="s">
        <v>490</v>
      </c>
      <c r="C126" s="13"/>
      <c r="D126" s="135"/>
      <c r="E126" s="135"/>
      <c r="F126" s="19"/>
      <c r="G126" s="52" t="str">
        <f>IF(C126="","",IF(C126="Yes","Provide a reference to the requested documents, or provide them when submitting this fully-populated questionnaire.","State any plans to provide system and/or application architecture diagrams."))</f>
        <v/>
      </c>
      <c r="H126" s="33"/>
      <c r="I126" s="34" t="s">
        <v>415</v>
      </c>
      <c r="J126" s="75"/>
      <c r="K126" s="78"/>
      <c r="L126" s="76">
        <f t="shared" si="2"/>
        <v>0</v>
      </c>
      <c r="M126" s="113"/>
      <c r="N126" s="113"/>
      <c r="O126" s="113"/>
      <c r="P126" s="112"/>
      <c r="Q126" s="112"/>
      <c r="R126" s="112"/>
      <c r="S126" s="112"/>
      <c r="T126" s="112" t="s">
        <v>762</v>
      </c>
      <c r="U126" s="108"/>
      <c r="V126" s="107"/>
    </row>
    <row r="127" spans="1:22" s="1" customFormat="1" ht="47.25" x14ac:dyDescent="0.2">
      <c r="A127" s="90" t="s">
        <v>182</v>
      </c>
      <c r="B127" s="18" t="s">
        <v>491</v>
      </c>
      <c r="C127" s="13"/>
      <c r="D127" s="135"/>
      <c r="E127" s="135"/>
      <c r="F127" s="19"/>
      <c r="G127" s="55" t="str">
        <f>IF(C127="","",IF(C127="Yes","Provide details of these procedures (link or attached).","Provide a detailed summary for this response, including your current end-of-life procedures."))</f>
        <v/>
      </c>
      <c r="H127" s="33">
        <v>40</v>
      </c>
      <c r="I127" s="34" t="s">
        <v>416</v>
      </c>
      <c r="J127" s="75"/>
      <c r="K127" s="78"/>
      <c r="L127" s="76">
        <f t="shared" si="2"/>
        <v>0</v>
      </c>
      <c r="M127" s="113"/>
      <c r="N127" s="113"/>
      <c r="O127" s="113"/>
      <c r="P127" s="112" t="s">
        <v>763</v>
      </c>
      <c r="Q127" s="112" t="s">
        <v>763</v>
      </c>
      <c r="R127" s="114" t="s">
        <v>764</v>
      </c>
      <c r="S127" s="148" t="s">
        <v>1127</v>
      </c>
      <c r="T127" s="114" t="s">
        <v>765</v>
      </c>
      <c r="U127" s="116" t="s">
        <v>766</v>
      </c>
      <c r="V127" s="117" t="s">
        <v>767</v>
      </c>
    </row>
    <row r="128" spans="1:22" s="1" customFormat="1" ht="47.25" x14ac:dyDescent="0.2">
      <c r="A128" s="90" t="s">
        <v>183</v>
      </c>
      <c r="B128" s="18" t="s">
        <v>473</v>
      </c>
      <c r="C128" s="13"/>
      <c r="D128" s="135"/>
      <c r="E128" s="135"/>
      <c r="F128" s="19"/>
      <c r="G128" s="123" t="str">
        <f>IF(C128="","",IF(C128="Yes","Please provide a brief description of this process.","State plans to support secure deletion for archived/backed-up entity data."))</f>
        <v/>
      </c>
      <c r="H128" s="33">
        <v>46</v>
      </c>
      <c r="I128" s="34" t="s">
        <v>417</v>
      </c>
      <c r="J128" s="75"/>
      <c r="K128" s="78"/>
      <c r="L128" s="76">
        <f t="shared" si="2"/>
        <v>0</v>
      </c>
      <c r="M128" s="113"/>
      <c r="N128" s="113"/>
      <c r="O128" s="113"/>
      <c r="P128" s="112" t="s">
        <v>768</v>
      </c>
      <c r="Q128" s="114" t="s">
        <v>769</v>
      </c>
      <c r="R128" s="112" t="s">
        <v>770</v>
      </c>
      <c r="S128" s="148" t="s">
        <v>1128</v>
      </c>
      <c r="T128" s="114" t="s">
        <v>771</v>
      </c>
      <c r="U128" s="116" t="s">
        <v>772</v>
      </c>
      <c r="V128" s="117" t="s">
        <v>773</v>
      </c>
    </row>
    <row r="129" spans="1:176" s="1" customFormat="1" ht="85.5" x14ac:dyDescent="0.2">
      <c r="A129" s="90" t="s">
        <v>184</v>
      </c>
      <c r="B129" s="18" t="s">
        <v>481</v>
      </c>
      <c r="C129" s="13"/>
      <c r="D129" s="135"/>
      <c r="E129" s="135"/>
      <c r="F129" s="19"/>
      <c r="G129" s="55" t="s">
        <v>573</v>
      </c>
      <c r="H129" s="33">
        <v>24</v>
      </c>
      <c r="I129" s="34" t="s">
        <v>418</v>
      </c>
      <c r="J129" s="75"/>
      <c r="K129" s="78"/>
      <c r="L129" s="76">
        <f t="shared" si="2"/>
        <v>0</v>
      </c>
      <c r="M129" s="113"/>
      <c r="N129" s="113"/>
      <c r="O129" s="113"/>
      <c r="P129" s="112" t="s">
        <v>774</v>
      </c>
      <c r="Q129" s="112" t="s">
        <v>774</v>
      </c>
      <c r="R129" s="112"/>
      <c r="S129" s="148" t="s">
        <v>1129</v>
      </c>
      <c r="T129" s="114" t="s">
        <v>775</v>
      </c>
      <c r="U129" s="116" t="s">
        <v>776</v>
      </c>
      <c r="V129" s="117" t="s">
        <v>777</v>
      </c>
    </row>
    <row r="130" spans="1:176" s="1" customFormat="1" ht="78.75" x14ac:dyDescent="0.2">
      <c r="A130" s="90" t="s">
        <v>185</v>
      </c>
      <c r="B130" s="18" t="s">
        <v>492</v>
      </c>
      <c r="C130" s="13"/>
      <c r="D130" s="135"/>
      <c r="E130" s="135"/>
      <c r="F130" s="19"/>
      <c r="G130" s="55" t="str">
        <f>IF(C130="","",IF(C130="Yes","Please describe this program in adequate detail.",""))</f>
        <v/>
      </c>
      <c r="H130" s="33">
        <v>54</v>
      </c>
      <c r="I130" s="34" t="s">
        <v>419</v>
      </c>
      <c r="J130" s="75"/>
      <c r="K130" s="78"/>
      <c r="L130" s="76">
        <f t="shared" si="2"/>
        <v>0</v>
      </c>
      <c r="M130" s="113" t="s">
        <v>620</v>
      </c>
      <c r="N130" s="113"/>
      <c r="O130" s="115" t="s">
        <v>1070</v>
      </c>
      <c r="P130" s="114" t="s">
        <v>778</v>
      </c>
      <c r="Q130" s="114" t="s">
        <v>778</v>
      </c>
      <c r="R130" s="114" t="s">
        <v>779</v>
      </c>
      <c r="S130" s="148" t="s">
        <v>1130</v>
      </c>
      <c r="T130" s="114" t="s">
        <v>780</v>
      </c>
      <c r="U130" s="116" t="s">
        <v>781</v>
      </c>
      <c r="V130" s="117" t="s">
        <v>782</v>
      </c>
    </row>
    <row r="131" spans="1:176" s="1" customFormat="1" ht="63" x14ac:dyDescent="0.2">
      <c r="A131" s="90" t="s">
        <v>321</v>
      </c>
      <c r="B131" s="18" t="s">
        <v>585</v>
      </c>
      <c r="C131" s="13"/>
      <c r="D131" s="135"/>
      <c r="E131" s="135"/>
      <c r="F131" s="19"/>
      <c r="G131" s="55" t="s">
        <v>601</v>
      </c>
      <c r="H131" s="33">
        <v>58</v>
      </c>
      <c r="I131" s="34" t="s">
        <v>420</v>
      </c>
      <c r="J131" s="75"/>
      <c r="K131" s="78"/>
      <c r="L131" s="76">
        <f t="shared" si="2"/>
        <v>0</v>
      </c>
      <c r="M131" s="113" t="s">
        <v>620</v>
      </c>
      <c r="N131" s="113"/>
      <c r="O131" s="113"/>
      <c r="P131" s="112" t="s">
        <v>783</v>
      </c>
      <c r="Q131" s="112" t="s">
        <v>783</v>
      </c>
      <c r="R131" s="112"/>
      <c r="S131" s="143" t="s">
        <v>1131</v>
      </c>
      <c r="T131" s="114" t="s">
        <v>784</v>
      </c>
      <c r="U131" s="108"/>
      <c r="V131" s="107"/>
    </row>
    <row r="132" spans="1:176" s="1" customFormat="1" ht="94.5" x14ac:dyDescent="0.2">
      <c r="A132" s="90" t="s">
        <v>186</v>
      </c>
      <c r="B132" s="18" t="s">
        <v>493</v>
      </c>
      <c r="C132" s="13"/>
      <c r="D132" s="135"/>
      <c r="E132" s="135"/>
      <c r="F132" s="19"/>
      <c r="G132" s="55" t="s">
        <v>311</v>
      </c>
      <c r="H132" s="33">
        <v>52</v>
      </c>
      <c r="I132" s="34" t="s">
        <v>1132</v>
      </c>
      <c r="J132" s="75"/>
      <c r="K132" s="78"/>
      <c r="L132" s="76">
        <f t="shared" si="2"/>
        <v>0</v>
      </c>
      <c r="M132" s="113"/>
      <c r="N132" s="113"/>
      <c r="O132" s="113"/>
      <c r="P132" s="114" t="s">
        <v>785</v>
      </c>
      <c r="Q132" s="114" t="s">
        <v>786</v>
      </c>
      <c r="R132" s="114" t="s">
        <v>787</v>
      </c>
      <c r="S132" s="148" t="s">
        <v>1133</v>
      </c>
      <c r="T132" s="114" t="s">
        <v>788</v>
      </c>
      <c r="U132" s="116" t="s">
        <v>789</v>
      </c>
      <c r="V132" s="117" t="s">
        <v>790</v>
      </c>
    </row>
    <row r="133" spans="1:176" s="1" customFormat="1" ht="31.5" x14ac:dyDescent="0.2">
      <c r="A133" s="91" t="s">
        <v>187</v>
      </c>
      <c r="B133" s="18" t="s">
        <v>106</v>
      </c>
      <c r="C133" s="13"/>
      <c r="D133" s="135"/>
      <c r="E133" s="135"/>
      <c r="F133" s="19"/>
      <c r="G133" s="53" t="str">
        <f>IF(C133="","",IF(C133="Yes","Summarize your defined problem/issue escalation plan contained in your BCP.","Describe any plans to define a problem/issue escalation plan in your BCP."))</f>
        <v/>
      </c>
      <c r="H133" s="33"/>
      <c r="I133" s="34"/>
      <c r="J133" s="75"/>
      <c r="K133" s="78"/>
      <c r="L133" s="76">
        <f t="shared" si="2"/>
        <v>0</v>
      </c>
      <c r="M133" s="113" t="s">
        <v>752</v>
      </c>
      <c r="N133" s="113"/>
      <c r="O133" s="113"/>
      <c r="P133" s="112" t="s">
        <v>791</v>
      </c>
      <c r="Q133" s="112" t="s">
        <v>791</v>
      </c>
      <c r="R133" s="114" t="s">
        <v>792</v>
      </c>
      <c r="S133" s="148" t="s">
        <v>1167</v>
      </c>
      <c r="T133" s="114" t="s">
        <v>793</v>
      </c>
      <c r="U133" s="108"/>
      <c r="V133" s="107" t="s">
        <v>794</v>
      </c>
    </row>
    <row r="134" spans="1:176" s="1" customFormat="1" ht="31.5" x14ac:dyDescent="0.2">
      <c r="A134" s="91" t="s">
        <v>188</v>
      </c>
      <c r="B134" s="18" t="s">
        <v>494</v>
      </c>
      <c r="C134" s="13"/>
      <c r="D134" s="135"/>
      <c r="E134" s="135"/>
      <c r="F134" s="24"/>
      <c r="G134" s="92" t="str">
        <f>IF(C134="","",IF(C134="Yes","Describe how your DRP is validated and exercised.","Describe any plans to develop a Disaster Recovery Plan (DRP)."))</f>
        <v/>
      </c>
      <c r="H134" s="33"/>
      <c r="I134" s="34"/>
      <c r="J134" s="75"/>
      <c r="K134" s="78"/>
      <c r="L134" s="76">
        <f t="shared" si="2"/>
        <v>0</v>
      </c>
      <c r="M134" s="113"/>
      <c r="N134" s="113"/>
      <c r="O134" s="113"/>
      <c r="P134" s="112" t="s">
        <v>753</v>
      </c>
      <c r="Q134" s="112" t="s">
        <v>753</v>
      </c>
      <c r="R134" s="112"/>
      <c r="S134" s="143" t="s">
        <v>1125</v>
      </c>
      <c r="T134" s="114" t="s">
        <v>795</v>
      </c>
      <c r="U134" s="108" t="s">
        <v>755</v>
      </c>
      <c r="V134" s="107" t="s">
        <v>756</v>
      </c>
    </row>
    <row r="135" spans="1:176" s="1" customFormat="1" ht="31.5" x14ac:dyDescent="0.2">
      <c r="A135" s="91" t="s">
        <v>189</v>
      </c>
      <c r="B135" s="18" t="s">
        <v>1205</v>
      </c>
      <c r="C135" s="13"/>
      <c r="D135" s="135"/>
      <c r="E135" s="135"/>
      <c r="F135" s="19"/>
      <c r="G135" s="54" t="str">
        <f>IF(C135="","",IF(C135="Yes","Provide links to these documents in Additional Information or attach them with your submission. Include the responsible party for your information security program and the size of your security staff.","Provide a brief summary for this response."))</f>
        <v/>
      </c>
      <c r="H135" s="33"/>
      <c r="I135" s="34"/>
      <c r="J135" s="75"/>
      <c r="K135" s="78"/>
      <c r="L135" s="76">
        <f>J135*K135</f>
        <v>0</v>
      </c>
      <c r="M135" s="113"/>
      <c r="N135" s="113"/>
      <c r="O135" s="113"/>
      <c r="P135" s="112" t="s">
        <v>796</v>
      </c>
      <c r="Q135" s="112" t="s">
        <v>796</v>
      </c>
      <c r="R135" s="112"/>
      <c r="S135" s="148" t="s">
        <v>1179</v>
      </c>
      <c r="T135" s="112"/>
      <c r="U135" s="108" t="s">
        <v>797</v>
      </c>
      <c r="V135" s="107" t="s">
        <v>683</v>
      </c>
    </row>
    <row r="136" spans="1:176" s="1" customFormat="1" ht="45.75" customHeight="1" x14ac:dyDescent="0.2">
      <c r="A136" s="91" t="s">
        <v>190</v>
      </c>
      <c r="B136" s="18" t="s">
        <v>145</v>
      </c>
      <c r="C136" s="13"/>
      <c r="D136" s="135"/>
      <c r="E136" s="135"/>
      <c r="F136" s="19"/>
      <c r="G136" s="149" t="str">
        <f>IF(C136="","",IF(C136="Yes","Describe how data will be returned to the entity and in what format will it be presented, as well as how data will be securely deleted from your systems.","Summarize why the entity's data won't be returned, and plans to implement secure deletion of entity data."))</f>
        <v/>
      </c>
      <c r="H136" s="33"/>
      <c r="I136" s="34"/>
      <c r="J136" s="75"/>
      <c r="K136" s="78"/>
      <c r="L136" s="76">
        <f t="shared" si="2"/>
        <v>0</v>
      </c>
      <c r="M136" s="113"/>
      <c r="N136" s="113"/>
      <c r="O136" s="113"/>
      <c r="P136" s="112"/>
      <c r="Q136" s="112"/>
      <c r="R136" s="112"/>
      <c r="S136" s="112"/>
      <c r="T136" s="112"/>
      <c r="U136" s="108"/>
      <c r="V136" s="107"/>
    </row>
    <row r="137" spans="1:176" s="1" customFormat="1" ht="18" x14ac:dyDescent="0.2">
      <c r="A137" s="91" t="s">
        <v>191</v>
      </c>
      <c r="B137" s="18" t="s">
        <v>146</v>
      </c>
      <c r="C137" s="13"/>
      <c r="D137" s="135"/>
      <c r="E137" s="135"/>
      <c r="F137" s="19"/>
      <c r="G137" s="150" t="str">
        <f>IF(C137="","",IF(C137="Yes","Provide a reference to the requested documents, or provide them when submitting this fully-populated questionnaire.","State any plans to develop or provide data retention policies for entity data."))</f>
        <v/>
      </c>
      <c r="H137" s="33"/>
      <c r="I137" s="34"/>
      <c r="J137" s="75"/>
      <c r="K137" s="78"/>
      <c r="L137" s="76">
        <f t="shared" si="2"/>
        <v>0</v>
      </c>
      <c r="M137" s="113"/>
      <c r="N137" s="113"/>
      <c r="O137" s="113"/>
      <c r="P137" s="112" t="s">
        <v>798</v>
      </c>
      <c r="Q137" s="112" t="s">
        <v>798</v>
      </c>
      <c r="R137" s="112"/>
      <c r="S137" s="112"/>
      <c r="T137" s="112" t="s">
        <v>799</v>
      </c>
      <c r="U137" s="108" t="s">
        <v>800</v>
      </c>
      <c r="V137" s="107" t="s">
        <v>801</v>
      </c>
    </row>
    <row r="138" spans="1:176" s="1" customFormat="1" ht="18" x14ac:dyDescent="0.2">
      <c r="A138" s="91" t="s">
        <v>250</v>
      </c>
      <c r="B138" s="18" t="s">
        <v>1206</v>
      </c>
      <c r="C138" s="13"/>
      <c r="D138" s="135"/>
      <c r="E138" s="135"/>
      <c r="F138" s="19"/>
      <c r="G138" s="149" t="str">
        <f>IF(C138="","",IF(C138="Yes","Provide reference to or attach your data ownership documention.","Describe in detail why ownership rights are not retained by the entity."))</f>
        <v/>
      </c>
      <c r="H138" s="33"/>
      <c r="I138" s="34"/>
      <c r="J138" s="75"/>
      <c r="K138" s="78"/>
      <c r="L138" s="76">
        <f t="shared" si="2"/>
        <v>0</v>
      </c>
      <c r="M138" s="113"/>
      <c r="N138" s="113"/>
      <c r="O138" s="113"/>
      <c r="P138" s="112"/>
      <c r="Q138" s="112"/>
      <c r="R138" s="112"/>
      <c r="S138" s="112"/>
      <c r="T138" s="112"/>
      <c r="U138" s="108"/>
      <c r="V138" s="107"/>
    </row>
    <row r="139" spans="1:176" s="1" customFormat="1" ht="31.5" x14ac:dyDescent="0.2">
      <c r="A139" s="91" t="s">
        <v>269</v>
      </c>
      <c r="B139" s="18" t="s">
        <v>64</v>
      </c>
      <c r="C139" s="13"/>
      <c r="D139" s="135"/>
      <c r="E139" s="135"/>
      <c r="F139" s="19"/>
      <c r="G139" s="55" t="str">
        <f>IF(C139="","",IF(C139="Yes","Provide a general summary of your long-term data retention strategy.","State plans to implement a long-term data retention strategy."))</f>
        <v/>
      </c>
      <c r="H139" s="33"/>
      <c r="I139" s="34"/>
      <c r="J139" s="75"/>
      <c r="K139" s="78"/>
      <c r="L139" s="76">
        <f t="shared" si="2"/>
        <v>0</v>
      </c>
      <c r="M139" s="113"/>
      <c r="N139" s="113"/>
      <c r="O139" s="113"/>
      <c r="P139" s="112" t="s">
        <v>798</v>
      </c>
      <c r="Q139" s="112" t="s">
        <v>798</v>
      </c>
      <c r="R139" s="112"/>
      <c r="S139" s="143" t="s">
        <v>1139</v>
      </c>
      <c r="T139" s="114" t="s">
        <v>802</v>
      </c>
      <c r="U139" s="108" t="s">
        <v>800</v>
      </c>
      <c r="V139" s="107" t="s">
        <v>801</v>
      </c>
    </row>
    <row r="140" spans="1:176" s="1" customFormat="1" ht="18" x14ac:dyDescent="0.2">
      <c r="A140" s="91" t="s">
        <v>307</v>
      </c>
      <c r="B140" s="18" t="s">
        <v>1207</v>
      </c>
      <c r="C140" s="13"/>
      <c r="D140" s="135"/>
      <c r="E140" s="135"/>
      <c r="F140" s="19"/>
      <c r="G140" s="55" t="str">
        <f>IF(C140="","",IF(C140="Yes","Describe how compliance is integrated into your process and procedures.","State plans to handle data in a compliant manner."))</f>
        <v/>
      </c>
      <c r="H140" s="33"/>
      <c r="I140" s="34"/>
      <c r="J140" s="75"/>
      <c r="K140" s="78"/>
      <c r="L140" s="76">
        <f t="shared" si="2"/>
        <v>0</v>
      </c>
      <c r="M140" s="113"/>
      <c r="N140" s="113"/>
      <c r="O140" s="113"/>
      <c r="P140" s="112"/>
      <c r="Q140" s="112"/>
      <c r="R140" s="112"/>
      <c r="S140" s="112"/>
      <c r="T140" s="112"/>
      <c r="U140" s="108"/>
      <c r="V140" s="107"/>
    </row>
    <row r="141" spans="1:176" s="60" customFormat="1" ht="31.5" x14ac:dyDescent="0.2">
      <c r="A141" s="90" t="s">
        <v>548</v>
      </c>
      <c r="B141" s="18" t="s">
        <v>549</v>
      </c>
      <c r="C141" s="13"/>
      <c r="D141" s="135"/>
      <c r="E141" s="135"/>
      <c r="F141" s="19"/>
      <c r="G141" s="62"/>
      <c r="H141" s="33">
        <v>20.100000000000001</v>
      </c>
      <c r="I141" s="39"/>
      <c r="J141" s="75"/>
      <c r="K141" s="78"/>
      <c r="L141" s="76">
        <f t="shared" si="2"/>
        <v>0</v>
      </c>
      <c r="M141" s="113"/>
      <c r="N141" s="113"/>
      <c r="O141" s="113" t="s">
        <v>1071</v>
      </c>
      <c r="P141" s="114" t="s">
        <v>803</v>
      </c>
      <c r="Q141" s="114" t="s">
        <v>803</v>
      </c>
      <c r="R141" s="112" t="s">
        <v>804</v>
      </c>
      <c r="S141" s="148" t="s">
        <v>1180</v>
      </c>
      <c r="T141" s="112" t="s">
        <v>805</v>
      </c>
      <c r="U141" s="108" t="s">
        <v>806</v>
      </c>
      <c r="V141" s="107" t="s">
        <v>692</v>
      </c>
    </row>
    <row r="142" spans="1:176" s="1" customFormat="1" ht="108" x14ac:dyDescent="0.2">
      <c r="A142" s="190" t="s">
        <v>139</v>
      </c>
      <c r="B142" s="190"/>
      <c r="C142" s="141" t="str">
        <f>"Response for " &amp; C45</f>
        <v>Response for Supplier Systems</v>
      </c>
      <c r="D142" s="132" t="s">
        <v>526</v>
      </c>
      <c r="E142" s="132" t="s">
        <v>99</v>
      </c>
      <c r="F142" s="2" t="s">
        <v>17</v>
      </c>
      <c r="G142" s="2" t="s">
        <v>18</v>
      </c>
      <c r="H142" s="2" t="s">
        <v>339</v>
      </c>
      <c r="I142" s="2" t="s">
        <v>365</v>
      </c>
      <c r="J142" s="224" t="s">
        <v>566</v>
      </c>
      <c r="K142" s="225"/>
      <c r="L142" s="74">
        <f>SUM(L143:L156)</f>
        <v>0</v>
      </c>
      <c r="M142" s="94" t="s">
        <v>602</v>
      </c>
      <c r="N142" s="94" t="s">
        <v>603</v>
      </c>
      <c r="O142" s="94" t="s">
        <v>604</v>
      </c>
      <c r="P142" s="95" t="s">
        <v>605</v>
      </c>
      <c r="Q142" s="95" t="s">
        <v>606</v>
      </c>
      <c r="R142" s="95" t="s">
        <v>607</v>
      </c>
      <c r="S142" s="96" t="s">
        <v>1086</v>
      </c>
      <c r="T142" s="97" t="s">
        <v>610</v>
      </c>
      <c r="U142" s="95" t="s">
        <v>613</v>
      </c>
      <c r="V142" s="95" t="s">
        <v>617</v>
      </c>
    </row>
    <row r="143" spans="1:176" s="1" customFormat="1" ht="31.5" x14ac:dyDescent="0.2">
      <c r="A143" s="90" t="s">
        <v>35</v>
      </c>
      <c r="B143" s="18" t="s">
        <v>319</v>
      </c>
      <c r="C143" s="13"/>
      <c r="D143" s="135"/>
      <c r="E143" s="135"/>
      <c r="F143" s="19"/>
      <c r="G143" s="53" t="str">
        <f>IF(C143="","",IF(C143="Yes","Summarize your current change management process.","Describe current plans to implement a change management process."))</f>
        <v/>
      </c>
      <c r="H143" s="33"/>
      <c r="I143" s="34"/>
      <c r="J143" s="75"/>
      <c r="K143" s="78"/>
      <c r="L143" s="76">
        <f t="shared" ref="L143:L206" si="3">J143*K143</f>
        <v>0</v>
      </c>
      <c r="M143" s="113"/>
      <c r="N143" s="113"/>
      <c r="O143" s="115" t="s">
        <v>1072</v>
      </c>
      <c r="P143" s="114" t="s">
        <v>807</v>
      </c>
      <c r="Q143" s="114" t="s">
        <v>807</v>
      </c>
      <c r="R143" s="112" t="s">
        <v>808</v>
      </c>
      <c r="S143" s="148" t="s">
        <v>1135</v>
      </c>
      <c r="T143" s="114" t="s">
        <v>809</v>
      </c>
      <c r="U143" s="108" t="s">
        <v>810</v>
      </c>
      <c r="V143" s="107" t="s">
        <v>674</v>
      </c>
    </row>
    <row r="144" spans="1:176" ht="78.75" x14ac:dyDescent="0.2">
      <c r="A144" s="90" t="s">
        <v>36</v>
      </c>
      <c r="B144" s="18" t="s">
        <v>245</v>
      </c>
      <c r="C144" s="13"/>
      <c r="D144" s="135"/>
      <c r="E144" s="135"/>
      <c r="F144" s="22"/>
      <c r="G144" s="53" t="str">
        <f>IF(C144="","",IF(C144="Yes","Describe how this is accomplished within your environment.","Describe your plans to ensure that only application software verifiable as authorized, tested, and approved for production, is placed into production."))</f>
        <v/>
      </c>
      <c r="H144" s="33"/>
      <c r="I144" s="34" t="s">
        <v>421</v>
      </c>
      <c r="J144" s="75"/>
      <c r="K144" s="78"/>
      <c r="L144" s="76">
        <f t="shared" si="3"/>
        <v>0</v>
      </c>
      <c r="M144" s="113" t="s">
        <v>620</v>
      </c>
      <c r="N144" s="113"/>
      <c r="O144" s="113"/>
      <c r="P144" s="112" t="s">
        <v>811</v>
      </c>
      <c r="Q144" s="112" t="s">
        <v>811</v>
      </c>
      <c r="R144" s="112" t="s">
        <v>808</v>
      </c>
      <c r="S144" s="148" t="s">
        <v>1135</v>
      </c>
      <c r="T144" s="114" t="s">
        <v>812</v>
      </c>
      <c r="U144" s="108" t="s">
        <v>813</v>
      </c>
      <c r="V144" s="107" t="s">
        <v>674</v>
      </c>
      <c r="FT144"/>
    </row>
    <row r="145" spans="1:176" ht="63" x14ac:dyDescent="0.2">
      <c r="A145" s="90" t="s">
        <v>37</v>
      </c>
      <c r="B145" s="18" t="s">
        <v>320</v>
      </c>
      <c r="C145" s="13"/>
      <c r="D145" s="135"/>
      <c r="E145" s="135"/>
      <c r="F145" s="22"/>
      <c r="G145" s="53" t="s">
        <v>302</v>
      </c>
      <c r="H145" s="33">
        <v>50</v>
      </c>
      <c r="I145" s="34" t="s">
        <v>422</v>
      </c>
      <c r="J145" s="75"/>
      <c r="K145" s="78"/>
      <c r="L145" s="76">
        <f t="shared" si="3"/>
        <v>0</v>
      </c>
      <c r="M145" s="113"/>
      <c r="N145" s="113"/>
      <c r="O145" s="115" t="s">
        <v>1073</v>
      </c>
      <c r="P145" s="112" t="s">
        <v>814</v>
      </c>
      <c r="Q145" s="112" t="s">
        <v>814</v>
      </c>
      <c r="R145" s="112" t="s">
        <v>815</v>
      </c>
      <c r="S145" s="148" t="s">
        <v>1134</v>
      </c>
      <c r="T145" s="114" t="s">
        <v>816</v>
      </c>
      <c r="U145" s="108" t="s">
        <v>637</v>
      </c>
      <c r="V145" s="117" t="s">
        <v>817</v>
      </c>
      <c r="FT145"/>
    </row>
    <row r="146" spans="1:176" ht="28.5" x14ac:dyDescent="0.2">
      <c r="A146" s="90" t="s">
        <v>38</v>
      </c>
      <c r="B146" s="18" t="s">
        <v>309</v>
      </c>
      <c r="C146" s="13"/>
      <c r="D146" s="135"/>
      <c r="E146" s="135"/>
      <c r="F146" s="19"/>
      <c r="G146" s="55"/>
      <c r="H146" s="33">
        <v>56</v>
      </c>
      <c r="I146" s="34" t="s">
        <v>423</v>
      </c>
      <c r="J146" s="75"/>
      <c r="K146" s="78"/>
      <c r="L146" s="76">
        <f t="shared" si="3"/>
        <v>0</v>
      </c>
      <c r="M146" s="113"/>
      <c r="N146" s="113" t="s">
        <v>1056</v>
      </c>
      <c r="O146" s="113"/>
      <c r="P146" s="112" t="s">
        <v>818</v>
      </c>
      <c r="Q146" s="114" t="s">
        <v>818</v>
      </c>
      <c r="R146" s="112" t="s">
        <v>819</v>
      </c>
      <c r="S146" s="143" t="s">
        <v>1138</v>
      </c>
      <c r="T146" s="112" t="s">
        <v>820</v>
      </c>
      <c r="U146" s="108"/>
      <c r="V146" s="107"/>
      <c r="FT146"/>
    </row>
    <row r="147" spans="1:176" s="1" customFormat="1" ht="94.5" x14ac:dyDescent="0.2">
      <c r="A147" s="90" t="s">
        <v>40</v>
      </c>
      <c r="B147" s="18" t="s">
        <v>495</v>
      </c>
      <c r="C147" s="13"/>
      <c r="D147" s="135"/>
      <c r="E147" s="135"/>
      <c r="F147" s="19"/>
      <c r="G147" s="53" t="str">
        <f>IF(C147="","",IF(C147="Yes","Summarize your implemented system configuration management process.","Describe how system configuration management is currently handled in your environment."))</f>
        <v/>
      </c>
      <c r="H147" s="33"/>
      <c r="I147" s="34"/>
      <c r="J147" s="75"/>
      <c r="K147" s="78"/>
      <c r="L147" s="76">
        <f t="shared" si="3"/>
        <v>0</v>
      </c>
      <c r="M147" s="113"/>
      <c r="N147" s="113"/>
      <c r="O147" s="113" t="s">
        <v>1074</v>
      </c>
      <c r="P147" s="114" t="s">
        <v>821</v>
      </c>
      <c r="Q147" s="114" t="s">
        <v>821</v>
      </c>
      <c r="R147" s="112" t="s">
        <v>804</v>
      </c>
      <c r="S147" s="143" t="s">
        <v>1138</v>
      </c>
      <c r="T147" s="114" t="s">
        <v>822</v>
      </c>
      <c r="U147" s="108" t="s">
        <v>823</v>
      </c>
      <c r="V147" s="107" t="s">
        <v>674</v>
      </c>
    </row>
    <row r="148" spans="1:176" s="1" customFormat="1" ht="47.25" x14ac:dyDescent="0.2">
      <c r="A148" s="90" t="s">
        <v>41</v>
      </c>
      <c r="B148" s="18" t="s">
        <v>81</v>
      </c>
      <c r="C148" s="13"/>
      <c r="D148" s="135"/>
      <c r="E148" s="135"/>
      <c r="F148" s="24"/>
      <c r="G148" s="54" t="str">
        <f>IF(C148="","",IF(C148="Yes","Summarize your systems management and configuration strategy.","Describe your intent to implement a systems management and configuration strategy."))</f>
        <v/>
      </c>
      <c r="H148" s="33"/>
      <c r="I148" s="34"/>
      <c r="J148" s="75"/>
      <c r="K148" s="78"/>
      <c r="L148" s="76">
        <f t="shared" si="3"/>
        <v>0</v>
      </c>
      <c r="M148" s="113"/>
      <c r="N148" s="113"/>
      <c r="O148" s="113"/>
      <c r="P148" s="112" t="s">
        <v>824</v>
      </c>
      <c r="Q148" s="112" t="s">
        <v>824</v>
      </c>
      <c r="R148" s="114" t="s">
        <v>825</v>
      </c>
      <c r="S148" s="143" t="s">
        <v>1138</v>
      </c>
      <c r="T148" s="114" t="s">
        <v>826</v>
      </c>
      <c r="U148" s="108" t="s">
        <v>823</v>
      </c>
      <c r="V148" s="107" t="s">
        <v>674</v>
      </c>
    </row>
    <row r="149" spans="1:176" s="1" customFormat="1" ht="31.5" x14ac:dyDescent="0.2">
      <c r="A149" s="90" t="s">
        <v>42</v>
      </c>
      <c r="B149" s="18" t="s">
        <v>115</v>
      </c>
      <c r="C149" s="24"/>
      <c r="D149" s="136"/>
      <c r="E149" s="136"/>
      <c r="F149" s="24"/>
      <c r="G149" s="53" t="s">
        <v>531</v>
      </c>
      <c r="H149" s="33"/>
      <c r="I149" s="34"/>
      <c r="J149" s="75"/>
      <c r="K149" s="78"/>
      <c r="L149" s="76">
        <f t="shared" si="3"/>
        <v>0</v>
      </c>
      <c r="M149" s="113"/>
      <c r="N149" s="113"/>
      <c r="O149" s="113"/>
      <c r="P149" s="114" t="s">
        <v>827</v>
      </c>
      <c r="Q149" s="114" t="s">
        <v>827</v>
      </c>
      <c r="R149" s="112"/>
      <c r="S149" s="143" t="s">
        <v>1138</v>
      </c>
      <c r="T149" s="114" t="s">
        <v>809</v>
      </c>
      <c r="U149" s="108" t="s">
        <v>810</v>
      </c>
      <c r="V149" s="107" t="s">
        <v>674</v>
      </c>
    </row>
    <row r="150" spans="1:176" ht="31.5" x14ac:dyDescent="0.2">
      <c r="A150" s="90" t="s">
        <v>43</v>
      </c>
      <c r="B150" s="18" t="s">
        <v>1208</v>
      </c>
      <c r="C150" s="13"/>
      <c r="D150" s="135"/>
      <c r="E150" s="135"/>
      <c r="F150" s="22"/>
      <c r="G150" s="123" t="str">
        <f>IF(C150="","",IF(C150="Yes","State how and when the entity will be notified of major changes to your environment.","Describe plans to establish a formal notification mechanism for major environmental changes."))</f>
        <v/>
      </c>
      <c r="H150" s="33"/>
      <c r="I150" s="34"/>
      <c r="J150" s="75"/>
      <c r="K150" s="78"/>
      <c r="L150" s="76">
        <f t="shared" si="3"/>
        <v>0</v>
      </c>
      <c r="M150" s="113"/>
      <c r="N150" s="113"/>
      <c r="O150" s="113"/>
      <c r="P150" s="112" t="s">
        <v>828</v>
      </c>
      <c r="Q150" s="112" t="s">
        <v>828</v>
      </c>
      <c r="R150" s="112" t="s">
        <v>829</v>
      </c>
      <c r="S150" s="148" t="s">
        <v>1136</v>
      </c>
      <c r="T150" s="114" t="s">
        <v>830</v>
      </c>
      <c r="U150" s="108"/>
      <c r="V150" s="107" t="s">
        <v>674</v>
      </c>
      <c r="FT150"/>
    </row>
    <row r="151" spans="1:176" ht="18" x14ac:dyDescent="0.2">
      <c r="A151" s="90" t="s">
        <v>44</v>
      </c>
      <c r="B151" s="18" t="s">
        <v>39</v>
      </c>
      <c r="C151" s="13"/>
      <c r="D151" s="135"/>
      <c r="E151" s="135"/>
      <c r="F151" s="22"/>
      <c r="G151" s="55" t="str">
        <f>IF(C151="","",IF(C151="Yes","Summarize or provide a reference to the process/procedure to manage releases.","Summarize why clients do not have alternative release options."))</f>
        <v/>
      </c>
      <c r="H151" s="33"/>
      <c r="I151" s="34"/>
      <c r="J151" s="75"/>
      <c r="K151" s="78"/>
      <c r="L151" s="76">
        <f t="shared" si="3"/>
        <v>0</v>
      </c>
      <c r="M151" s="113"/>
      <c r="N151" s="113"/>
      <c r="O151" s="113"/>
      <c r="P151" s="112"/>
      <c r="Q151" s="112"/>
      <c r="R151" s="112"/>
      <c r="S151" s="112"/>
      <c r="T151" s="112"/>
      <c r="U151" s="108"/>
      <c r="V151" s="107"/>
      <c r="FT151"/>
    </row>
    <row r="152" spans="1:176" ht="18" x14ac:dyDescent="0.2">
      <c r="A152" s="90" t="s">
        <v>192</v>
      </c>
      <c r="B152" s="18" t="s">
        <v>116</v>
      </c>
      <c r="C152" s="13"/>
      <c r="D152" s="135"/>
      <c r="E152" s="135"/>
      <c r="F152" s="22"/>
      <c r="G152" s="55" t="str">
        <f>IF(C152="","",IF(C152="Yes","Please describe your support strategy.",""))</f>
        <v/>
      </c>
      <c r="H152" s="33"/>
      <c r="I152" s="34"/>
      <c r="J152" s="75"/>
      <c r="K152" s="78"/>
      <c r="L152" s="76">
        <f t="shared" si="3"/>
        <v>0</v>
      </c>
      <c r="M152" s="113"/>
      <c r="N152" s="113"/>
      <c r="O152" s="113"/>
      <c r="P152" s="112"/>
      <c r="Q152" s="112"/>
      <c r="R152" s="112"/>
      <c r="S152" s="112"/>
      <c r="T152" s="112"/>
      <c r="U152" s="108"/>
      <c r="V152" s="107"/>
      <c r="FT152"/>
    </row>
    <row r="153" spans="1:176" ht="18" x14ac:dyDescent="0.2">
      <c r="A153" s="90" t="s">
        <v>45</v>
      </c>
      <c r="B153" s="18" t="s">
        <v>107</v>
      </c>
      <c r="C153" s="13"/>
      <c r="D153" s="135"/>
      <c r="E153" s="135"/>
      <c r="F153" s="22"/>
      <c r="G153" s="53" t="str">
        <f>IF(C153="","",IF(C153="Yes","Describe how this is accomplished within your system.","Describe any business or technical reasons why customizations are not supported."))</f>
        <v/>
      </c>
      <c r="H153" s="33"/>
      <c r="I153" s="34"/>
      <c r="J153" s="75"/>
      <c r="K153" s="78"/>
      <c r="L153" s="76">
        <f t="shared" si="3"/>
        <v>0</v>
      </c>
      <c r="M153" s="113"/>
      <c r="N153" s="113"/>
      <c r="O153" s="113"/>
      <c r="P153" s="112"/>
      <c r="Q153" s="112"/>
      <c r="R153" s="112"/>
      <c r="S153" s="112"/>
      <c r="T153" s="112"/>
      <c r="U153" s="108"/>
      <c r="V153" s="107"/>
      <c r="FT153"/>
    </row>
    <row r="154" spans="1:176" ht="78.75" x14ac:dyDescent="0.2">
      <c r="A154" s="90" t="s">
        <v>46</v>
      </c>
      <c r="B154" s="18" t="s">
        <v>496</v>
      </c>
      <c r="C154" s="13"/>
      <c r="D154" s="135"/>
      <c r="E154" s="135"/>
      <c r="F154" s="22"/>
      <c r="G154" s="53" t="str">
        <f>IF(C154="","",IF(C154="Yes","Please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54" s="33"/>
      <c r="I154" s="34"/>
      <c r="J154" s="75"/>
      <c r="K154" s="78"/>
      <c r="L154" s="76">
        <f t="shared" si="3"/>
        <v>0</v>
      </c>
      <c r="M154" s="113"/>
      <c r="N154" s="113"/>
      <c r="O154" s="113"/>
      <c r="P154" s="114" t="s">
        <v>831</v>
      </c>
      <c r="Q154" s="114" t="s">
        <v>831</v>
      </c>
      <c r="R154" s="112" t="s">
        <v>815</v>
      </c>
      <c r="S154" s="148" t="s">
        <v>1134</v>
      </c>
      <c r="T154" s="114" t="s">
        <v>832</v>
      </c>
      <c r="U154" s="108" t="s">
        <v>637</v>
      </c>
      <c r="V154" s="117" t="s">
        <v>833</v>
      </c>
      <c r="FT154"/>
    </row>
    <row r="155" spans="1:176" ht="47.25" customHeight="1" x14ac:dyDescent="0.2">
      <c r="A155" s="90" t="s">
        <v>193</v>
      </c>
      <c r="B155" s="32" t="s">
        <v>497</v>
      </c>
      <c r="C155" s="13"/>
      <c r="D155" s="135"/>
      <c r="E155" s="135"/>
      <c r="F155" s="31"/>
      <c r="G155" s="53" t="str">
        <f>IF(C155="","",IF(C155="Yes","Summarize the policy and procedure(s) guiding risk mitigation practices before critical patches can be applied and provide a copy if available.","State your plans to implement policy and procedure(s) guiding risk mitigation practices before critical patches can be applied."))</f>
        <v/>
      </c>
      <c r="H155" s="33"/>
      <c r="I155" s="34"/>
      <c r="J155" s="75"/>
      <c r="K155" s="78"/>
      <c r="L155" s="76">
        <f t="shared" si="3"/>
        <v>0</v>
      </c>
      <c r="M155" s="113"/>
      <c r="N155" s="113"/>
      <c r="O155" s="113"/>
      <c r="P155" s="112"/>
      <c r="Q155" s="112"/>
      <c r="R155" s="112"/>
      <c r="S155" s="148" t="s">
        <v>1137</v>
      </c>
      <c r="T155" s="112" t="s">
        <v>834</v>
      </c>
      <c r="U155" s="108" t="s">
        <v>637</v>
      </c>
      <c r="V155" s="107" t="s">
        <v>619</v>
      </c>
      <c r="FT155"/>
    </row>
    <row r="156" spans="1:176" ht="18" x14ac:dyDescent="0.2">
      <c r="A156" s="90" t="s">
        <v>308</v>
      </c>
      <c r="B156" s="18" t="s">
        <v>71</v>
      </c>
      <c r="C156" s="13"/>
      <c r="D156" s="135"/>
      <c r="E156" s="135"/>
      <c r="F156" s="31"/>
      <c r="G156" s="53" t="str">
        <f>IF(C156="","",IF(C156="Yes","Please describe the policy, including required approvals, for firewall change requests.","State your plans to implement a firewall change request policy or procedure."))</f>
        <v/>
      </c>
      <c r="H156" s="33"/>
      <c r="I156" s="34"/>
      <c r="J156" s="75"/>
      <c r="K156" s="78"/>
      <c r="L156" s="76">
        <f t="shared" si="3"/>
        <v>0</v>
      </c>
      <c r="M156" s="113"/>
      <c r="N156" s="113"/>
      <c r="O156" s="113"/>
      <c r="P156" s="112"/>
      <c r="Q156" s="112"/>
      <c r="R156" s="112"/>
      <c r="S156" s="112"/>
      <c r="T156" s="112"/>
      <c r="U156" s="108"/>
      <c r="V156" s="107"/>
      <c r="FT156"/>
    </row>
    <row r="157" spans="1:176" ht="108" x14ac:dyDescent="0.2">
      <c r="A157" s="190" t="s">
        <v>144</v>
      </c>
      <c r="B157" s="190"/>
      <c r="C157" s="141" t="str">
        <f>"Response for " &amp; C45</f>
        <v>Response for Supplier Systems</v>
      </c>
      <c r="D157" s="132" t="s">
        <v>526</v>
      </c>
      <c r="E157" s="132" t="s">
        <v>99</v>
      </c>
      <c r="F157" s="2" t="s">
        <v>17</v>
      </c>
      <c r="G157" s="2" t="s">
        <v>18</v>
      </c>
      <c r="H157" s="2" t="s">
        <v>339</v>
      </c>
      <c r="I157" s="2" t="s">
        <v>365</v>
      </c>
      <c r="J157" s="224" t="s">
        <v>566</v>
      </c>
      <c r="K157" s="225"/>
      <c r="L157" s="74">
        <f>SUM(L158:L181)</f>
        <v>0</v>
      </c>
      <c r="M157" s="94" t="s">
        <v>602</v>
      </c>
      <c r="N157" s="94" t="s">
        <v>603</v>
      </c>
      <c r="O157" s="94" t="s">
        <v>604</v>
      </c>
      <c r="P157" s="95" t="s">
        <v>605</v>
      </c>
      <c r="Q157" s="95" t="s">
        <v>606</v>
      </c>
      <c r="R157" s="95" t="s">
        <v>607</v>
      </c>
      <c r="S157" s="96" t="s">
        <v>1086</v>
      </c>
      <c r="T157" s="97" t="s">
        <v>610</v>
      </c>
      <c r="U157" s="95" t="s">
        <v>613</v>
      </c>
      <c r="V157" s="95" t="s">
        <v>617</v>
      </c>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row>
    <row r="158" spans="1:176" ht="47.25" x14ac:dyDescent="0.2">
      <c r="A158" s="90" t="s">
        <v>322</v>
      </c>
      <c r="B158" s="18" t="s">
        <v>555</v>
      </c>
      <c r="C158" s="13"/>
      <c r="D158" s="135"/>
      <c r="E158" s="135"/>
      <c r="F158" s="12"/>
      <c r="G158" s="53" t="str">
        <f>IF(C158="","",IF(C158="Yes","Provide a general summary of your archival environment.","State plans to store long-term media in environmentally protected areas."))</f>
        <v/>
      </c>
      <c r="H158" s="36"/>
      <c r="I158" s="36" t="s">
        <v>424</v>
      </c>
      <c r="J158" s="75"/>
      <c r="K158" s="78"/>
      <c r="L158" s="76">
        <f t="shared" si="3"/>
        <v>0</v>
      </c>
      <c r="M158" s="113"/>
      <c r="N158" s="113"/>
      <c r="O158" s="113"/>
      <c r="P158" s="112" t="s">
        <v>627</v>
      </c>
      <c r="Q158" s="112" t="s">
        <v>627</v>
      </c>
      <c r="R158" s="114" t="s">
        <v>835</v>
      </c>
      <c r="S158" s="143" t="s">
        <v>1146</v>
      </c>
      <c r="T158" s="114" t="s">
        <v>836</v>
      </c>
      <c r="U158" s="108" t="s">
        <v>800</v>
      </c>
      <c r="V158" s="107" t="s">
        <v>631</v>
      </c>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row>
    <row r="159" spans="1:176" ht="18" x14ac:dyDescent="0.2">
      <c r="A159" s="90" t="s">
        <v>323</v>
      </c>
      <c r="B159" s="18" t="s">
        <v>1209</v>
      </c>
      <c r="C159" s="13"/>
      <c r="D159" s="135"/>
      <c r="E159" s="135"/>
      <c r="F159" s="19"/>
      <c r="G159" s="149" t="str">
        <f>IF(C159="","",IF(C159="Yes","","Please state the owner of the physical data center where the entity's data will reside."))</f>
        <v/>
      </c>
      <c r="H159" s="36"/>
      <c r="I159" s="36" t="s">
        <v>425</v>
      </c>
      <c r="J159" s="75"/>
      <c r="K159" s="78"/>
      <c r="L159" s="76">
        <f t="shared" si="3"/>
        <v>0</v>
      </c>
      <c r="M159" s="113"/>
      <c r="N159" s="113"/>
      <c r="O159" s="113"/>
      <c r="P159" s="112"/>
      <c r="Q159" s="112"/>
      <c r="R159" s="112"/>
      <c r="S159" s="112"/>
      <c r="T159" s="112"/>
      <c r="U159" s="108"/>
      <c r="V159" s="107"/>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row>
    <row r="160" spans="1:176" ht="28.5" x14ac:dyDescent="0.2">
      <c r="A160" s="90" t="s">
        <v>324</v>
      </c>
      <c r="B160" s="18" t="s">
        <v>68</v>
      </c>
      <c r="C160" s="13"/>
      <c r="D160" s="135"/>
      <c r="E160" s="135"/>
      <c r="F160" s="19"/>
      <c r="G160" s="53" t="str">
        <f>IF(C160="","",IF(C160="Yes","","Please describe security controls that prevent unauthorized physical contacts with your devices."))</f>
        <v/>
      </c>
      <c r="H160" s="36"/>
      <c r="I160" s="36"/>
      <c r="J160" s="75"/>
      <c r="K160" s="78"/>
      <c r="L160" s="76">
        <f t="shared" si="3"/>
        <v>0</v>
      </c>
      <c r="M160" s="113"/>
      <c r="N160" s="113"/>
      <c r="O160" s="113"/>
      <c r="P160" s="112" t="s">
        <v>837</v>
      </c>
      <c r="Q160" s="112" t="s">
        <v>837</v>
      </c>
      <c r="R160" s="112" t="s">
        <v>838</v>
      </c>
      <c r="S160" s="143" t="s">
        <v>1123</v>
      </c>
      <c r="T160" s="112" t="s">
        <v>629</v>
      </c>
      <c r="U160" s="108" t="s">
        <v>839</v>
      </c>
      <c r="V160" s="107" t="s">
        <v>631</v>
      </c>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row>
    <row r="161" spans="1:176" ht="18" x14ac:dyDescent="0.2">
      <c r="A161" s="90" t="s">
        <v>325</v>
      </c>
      <c r="B161" s="18" t="s">
        <v>1210</v>
      </c>
      <c r="C161" s="13"/>
      <c r="D161" s="135"/>
      <c r="E161" s="135"/>
      <c r="F161" s="19"/>
      <c r="G161" s="53"/>
      <c r="H161" s="36"/>
      <c r="I161" s="36"/>
      <c r="J161" s="75"/>
      <c r="K161" s="78"/>
      <c r="L161" s="76">
        <f t="shared" si="3"/>
        <v>0</v>
      </c>
      <c r="M161" s="113"/>
      <c r="N161" s="113"/>
      <c r="O161" s="113"/>
      <c r="P161" s="112"/>
      <c r="Q161" s="112" t="s">
        <v>840</v>
      </c>
      <c r="R161" s="112"/>
      <c r="S161" s="143" t="s">
        <v>1143</v>
      </c>
      <c r="T161" s="112" t="s">
        <v>841</v>
      </c>
      <c r="U161" s="108" t="s">
        <v>842</v>
      </c>
      <c r="V161" s="107" t="s">
        <v>843</v>
      </c>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row>
    <row r="162" spans="1:176" ht="47.25" x14ac:dyDescent="0.2">
      <c r="A162" s="90" t="s">
        <v>326</v>
      </c>
      <c r="B162" s="18" t="s">
        <v>498</v>
      </c>
      <c r="C162" s="13"/>
      <c r="D162" s="135"/>
      <c r="E162" s="135"/>
      <c r="F162" s="15"/>
      <c r="G162" s="53" t="str">
        <f>IF(C162="","",IF(C162="Yes","Please describe how this is accomplished, including the process by which it is ensure that access has been approved before it is provisioned.","Please describe plans to implement appropriate segregation of duties."))</f>
        <v/>
      </c>
      <c r="H162" s="36"/>
      <c r="I162" s="36" t="s">
        <v>426</v>
      </c>
      <c r="J162" s="75"/>
      <c r="K162" s="78"/>
      <c r="L162" s="76">
        <f t="shared" si="3"/>
        <v>0</v>
      </c>
      <c r="M162" s="113"/>
      <c r="N162" s="113"/>
      <c r="O162" s="113"/>
      <c r="P162" s="112" t="s">
        <v>844</v>
      </c>
      <c r="Q162" s="112" t="s">
        <v>844</v>
      </c>
      <c r="R162" s="112" t="s">
        <v>845</v>
      </c>
      <c r="S162" s="143" t="s">
        <v>1122</v>
      </c>
      <c r="T162" s="114" t="s">
        <v>846</v>
      </c>
      <c r="U162" s="108" t="s">
        <v>847</v>
      </c>
      <c r="V162" s="107" t="s">
        <v>664</v>
      </c>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row>
    <row r="163" spans="1:176" ht="57" x14ac:dyDescent="0.2">
      <c r="A163" s="90" t="s">
        <v>327</v>
      </c>
      <c r="B163" s="18" t="s">
        <v>108</v>
      </c>
      <c r="C163" s="13"/>
      <c r="D163" s="135"/>
      <c r="E163" s="135"/>
      <c r="F163" s="24"/>
      <c r="G163" s="53" t="s">
        <v>60</v>
      </c>
      <c r="H163" s="36"/>
      <c r="I163" s="36"/>
      <c r="J163" s="75"/>
      <c r="K163" s="78"/>
      <c r="L163" s="76">
        <f t="shared" si="3"/>
        <v>0</v>
      </c>
      <c r="M163" s="113"/>
      <c r="N163" s="113"/>
      <c r="O163" s="113"/>
      <c r="P163" s="112"/>
      <c r="Q163" s="112" t="s">
        <v>848</v>
      </c>
      <c r="R163" s="112" t="s">
        <v>849</v>
      </c>
      <c r="S163" s="143" t="s">
        <v>1142</v>
      </c>
      <c r="T163" s="114" t="s">
        <v>850</v>
      </c>
      <c r="U163" s="108" t="s">
        <v>851</v>
      </c>
      <c r="V163" s="107" t="s">
        <v>843</v>
      </c>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row>
    <row r="164" spans="1:176" ht="18" x14ac:dyDescent="0.2">
      <c r="A164" s="90" t="s">
        <v>328</v>
      </c>
      <c r="B164" s="18" t="s">
        <v>556</v>
      </c>
      <c r="C164" s="13"/>
      <c r="D164" s="135"/>
      <c r="E164" s="135"/>
      <c r="F164" s="12"/>
      <c r="G164" s="53" t="str">
        <f>IF(C164="","",IF(C164="Yes","","State plans to adhere to DoD 5220.22-M and/or NIST SP 800-88 standards."))</f>
        <v/>
      </c>
      <c r="H164" s="36"/>
      <c r="I164" s="36"/>
      <c r="J164" s="75"/>
      <c r="K164" s="78"/>
      <c r="L164" s="76">
        <f t="shared" si="3"/>
        <v>0</v>
      </c>
      <c r="M164" s="113"/>
      <c r="N164" s="113"/>
      <c r="O164" s="113"/>
      <c r="P164" s="112"/>
      <c r="Q164" s="112"/>
      <c r="R164" s="112"/>
      <c r="S164" s="112"/>
      <c r="T164" s="112"/>
      <c r="U164" s="108"/>
      <c r="V164" s="107"/>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row>
    <row r="165" spans="1:176" ht="31.5" x14ac:dyDescent="0.2">
      <c r="A165" s="90" t="s">
        <v>329</v>
      </c>
      <c r="B165" s="18" t="s">
        <v>69</v>
      </c>
      <c r="C165" s="13"/>
      <c r="D165" s="135"/>
      <c r="E165" s="135"/>
      <c r="F165" s="12"/>
      <c r="G165" s="53" t="str">
        <f>IF(C165="","",IF(C165="Yes","Describe how and where WAFs are currently implemented in your environment.","Describe any plans to implement a WAF in your environment."))</f>
        <v/>
      </c>
      <c r="H165" s="36"/>
      <c r="I165" s="36"/>
      <c r="J165" s="75"/>
      <c r="K165" s="78"/>
      <c r="L165" s="76">
        <f t="shared" si="3"/>
        <v>0</v>
      </c>
      <c r="M165" s="113"/>
      <c r="N165" s="113" t="s">
        <v>1060</v>
      </c>
      <c r="O165" s="113"/>
      <c r="P165" s="112" t="s">
        <v>852</v>
      </c>
      <c r="Q165" s="112" t="s">
        <v>852</v>
      </c>
      <c r="R165" s="112" t="s">
        <v>853</v>
      </c>
      <c r="S165" s="143" t="s">
        <v>1156</v>
      </c>
      <c r="T165" s="114" t="s">
        <v>854</v>
      </c>
      <c r="U165" s="108"/>
      <c r="V165" s="107" t="s">
        <v>718</v>
      </c>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row>
    <row r="166" spans="1:176" ht="47.25" x14ac:dyDescent="0.2">
      <c r="A166" s="90" t="s">
        <v>330</v>
      </c>
      <c r="B166" s="18" t="s">
        <v>70</v>
      </c>
      <c r="C166" s="13"/>
      <c r="D166" s="135"/>
      <c r="E166" s="135"/>
      <c r="F166" s="12"/>
      <c r="G166" s="53" t="str">
        <f>IF(C166="","",IF(C166="Yes","Describe how and where SPI firewalls are currently implemented in your environment.","State any plans to implement SPI firewalls in your environment."))</f>
        <v/>
      </c>
      <c r="H166" s="36"/>
      <c r="I166" s="36"/>
      <c r="J166" s="75"/>
      <c r="K166" s="78"/>
      <c r="L166" s="76">
        <f t="shared" si="3"/>
        <v>0</v>
      </c>
      <c r="M166" s="113"/>
      <c r="N166" s="113" t="s">
        <v>1060</v>
      </c>
      <c r="O166" s="113"/>
      <c r="P166" s="112" t="s">
        <v>852</v>
      </c>
      <c r="Q166" s="112" t="s">
        <v>852</v>
      </c>
      <c r="R166" s="112" t="s">
        <v>853</v>
      </c>
      <c r="S166" s="143" t="s">
        <v>1156</v>
      </c>
      <c r="T166" s="114" t="s">
        <v>855</v>
      </c>
      <c r="U166" s="108" t="s">
        <v>856</v>
      </c>
      <c r="V166" s="107" t="s">
        <v>718</v>
      </c>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row>
    <row r="167" spans="1:176" ht="18" x14ac:dyDescent="0.2">
      <c r="A167" s="90" t="s">
        <v>194</v>
      </c>
      <c r="B167" s="18" t="s">
        <v>499</v>
      </c>
      <c r="C167" s="12"/>
      <c r="D167" s="138"/>
      <c r="E167" s="138"/>
      <c r="F167" s="12"/>
      <c r="G167" s="53"/>
      <c r="H167" s="36"/>
      <c r="I167" s="36"/>
      <c r="J167" s="75"/>
      <c r="K167" s="78"/>
      <c r="L167" s="76">
        <f t="shared" si="3"/>
        <v>0</v>
      </c>
      <c r="M167" s="113"/>
      <c r="N167" s="113"/>
      <c r="O167" s="113"/>
      <c r="P167" s="112"/>
      <c r="Q167" s="112"/>
      <c r="R167" s="112"/>
      <c r="S167" s="112"/>
      <c r="T167" s="112"/>
      <c r="U167" s="108"/>
      <c r="V167" s="10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row>
    <row r="168" spans="1:176" ht="47.25" x14ac:dyDescent="0.2">
      <c r="A168" s="90" t="s">
        <v>195</v>
      </c>
      <c r="B168" s="18" t="s">
        <v>72</v>
      </c>
      <c r="C168" s="13"/>
      <c r="D168" s="135"/>
      <c r="E168" s="135"/>
      <c r="F168" s="12"/>
      <c r="G168" s="53" t="str">
        <f>IF(C168="","",IF(C168="Yes","","Please describe for which network(s) and/or tool(s) audit logs are not available."))</f>
        <v/>
      </c>
      <c r="H168" s="36"/>
      <c r="I168" s="36"/>
      <c r="J168" s="75"/>
      <c r="K168" s="78"/>
      <c r="L168" s="76">
        <f t="shared" si="3"/>
        <v>0</v>
      </c>
      <c r="M168" s="113"/>
      <c r="N168" s="113"/>
      <c r="O168" s="113"/>
      <c r="P168" s="112" t="s">
        <v>857</v>
      </c>
      <c r="Q168" s="112" t="s">
        <v>857</v>
      </c>
      <c r="R168" s="112" t="s">
        <v>858</v>
      </c>
      <c r="S168" s="143" t="s">
        <v>1165</v>
      </c>
      <c r="T168" s="114" t="s">
        <v>859</v>
      </c>
      <c r="U168" s="108" t="s">
        <v>738</v>
      </c>
      <c r="V168" s="117" t="s">
        <v>860</v>
      </c>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row>
    <row r="169" spans="1:176" ht="31.5" x14ac:dyDescent="0.2">
      <c r="A169" s="90" t="s">
        <v>196</v>
      </c>
      <c r="B169" s="18" t="s">
        <v>535</v>
      </c>
      <c r="C169" s="13"/>
      <c r="D169" s="135"/>
      <c r="E169" s="135"/>
      <c r="F169" s="12"/>
      <c r="G169" s="53" t="str">
        <f>IF(C169="","",IF(C169="Yes","Please describe how the development environments/systems are isolated.","Describe any plans to segregate development environments/systems from other networks."))</f>
        <v/>
      </c>
      <c r="H169" s="36"/>
      <c r="I169" s="36"/>
      <c r="J169" s="75"/>
      <c r="K169" s="78"/>
      <c r="L169" s="76">
        <f t="shared" si="3"/>
        <v>0</v>
      </c>
      <c r="M169" s="113"/>
      <c r="N169" s="113"/>
      <c r="O169" s="113" t="s">
        <v>1060</v>
      </c>
      <c r="P169" s="114" t="s">
        <v>861</v>
      </c>
      <c r="Q169" s="114" t="s">
        <v>861</v>
      </c>
      <c r="R169" s="112"/>
      <c r="S169" s="143" t="s">
        <v>1149</v>
      </c>
      <c r="T169" s="114" t="s">
        <v>862</v>
      </c>
      <c r="U169" s="108" t="s">
        <v>863</v>
      </c>
      <c r="V169" s="107" t="s">
        <v>674</v>
      </c>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row>
    <row r="170" spans="1:176" ht="42.75" x14ac:dyDescent="0.2">
      <c r="A170" s="90" t="s">
        <v>197</v>
      </c>
      <c r="B170" s="18" t="s">
        <v>137</v>
      </c>
      <c r="C170" s="12"/>
      <c r="D170" s="138"/>
      <c r="E170" s="138"/>
      <c r="F170" s="12"/>
      <c r="G170" s="53"/>
      <c r="H170" s="36"/>
      <c r="I170" s="36"/>
      <c r="J170" s="75"/>
      <c r="K170" s="78"/>
      <c r="L170" s="76">
        <f t="shared" si="3"/>
        <v>0</v>
      </c>
      <c r="M170" s="113"/>
      <c r="N170" s="113"/>
      <c r="O170" s="113"/>
      <c r="P170" s="112"/>
      <c r="Q170" s="112"/>
      <c r="R170" s="112"/>
      <c r="S170" s="112"/>
      <c r="T170" s="112"/>
      <c r="U170" s="108"/>
      <c r="V170" s="107"/>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row>
    <row r="171" spans="1:176" ht="18" x14ac:dyDescent="0.2">
      <c r="A171" s="90" t="s">
        <v>198</v>
      </c>
      <c r="B171" s="18" t="s">
        <v>65</v>
      </c>
      <c r="C171" s="13"/>
      <c r="D171" s="135"/>
      <c r="E171" s="135"/>
      <c r="F171" s="12"/>
      <c r="G171" s="53" t="str">
        <f>IF(C171="","",IF(C171="Yes","Please provide a copy of the SOC 2 Type 2 audit report.","Describe any plans to conduct a SOC 2 Type 2 audit."))</f>
        <v/>
      </c>
      <c r="H171" s="36"/>
      <c r="I171" s="36"/>
      <c r="J171" s="75"/>
      <c r="K171" s="78"/>
      <c r="L171" s="76">
        <f t="shared" si="3"/>
        <v>0</v>
      </c>
      <c r="M171" s="113"/>
      <c r="N171" s="113"/>
      <c r="O171" s="113"/>
      <c r="P171" s="112"/>
      <c r="Q171" s="112"/>
      <c r="R171" s="112"/>
      <c r="S171" s="112"/>
      <c r="T171" s="112"/>
      <c r="U171" s="108"/>
      <c r="V171" s="107"/>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row>
    <row r="172" spans="1:176" ht="18" x14ac:dyDescent="0.2">
      <c r="A172" s="90" t="s">
        <v>199</v>
      </c>
      <c r="B172" s="18" t="s">
        <v>66</v>
      </c>
      <c r="C172" s="13"/>
      <c r="D172" s="135"/>
      <c r="E172" s="135"/>
      <c r="F172" s="12"/>
      <c r="G172" s="53"/>
      <c r="H172" s="36"/>
      <c r="I172" s="36"/>
      <c r="J172" s="75"/>
      <c r="K172" s="78"/>
      <c r="L172" s="76">
        <f t="shared" si="3"/>
        <v>0</v>
      </c>
      <c r="M172" s="113"/>
      <c r="N172" s="113"/>
      <c r="O172" s="113"/>
      <c r="P172" s="112"/>
      <c r="Q172" s="112"/>
      <c r="R172" s="112"/>
      <c r="S172" s="112"/>
      <c r="T172" s="112"/>
      <c r="U172" s="108"/>
      <c r="V172" s="107"/>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row>
    <row r="173" spans="1:176" ht="31.5" x14ac:dyDescent="0.2">
      <c r="A173" s="90" t="s">
        <v>200</v>
      </c>
      <c r="B173" s="18" t="s">
        <v>67</v>
      </c>
      <c r="C173" s="13"/>
      <c r="D173" s="135"/>
      <c r="E173" s="135"/>
      <c r="F173" s="12"/>
      <c r="G173" s="53" t="str">
        <f>IF(C173="","",IF(C173="Yes","","Please describe how your servers are physically separated/isolated from those of other customers."))</f>
        <v/>
      </c>
      <c r="H173" s="36"/>
      <c r="I173" s="36"/>
      <c r="J173" s="75"/>
      <c r="K173" s="78"/>
      <c r="L173" s="76">
        <f t="shared" si="3"/>
        <v>0</v>
      </c>
      <c r="M173" s="113"/>
      <c r="N173" s="113"/>
      <c r="O173" s="113"/>
      <c r="P173" s="112" t="s">
        <v>837</v>
      </c>
      <c r="Q173" s="114" t="s">
        <v>864</v>
      </c>
      <c r="R173" s="112" t="s">
        <v>838</v>
      </c>
      <c r="S173" s="143" t="s">
        <v>1123</v>
      </c>
      <c r="T173" s="112" t="s">
        <v>629</v>
      </c>
      <c r="U173" s="108" t="s">
        <v>630</v>
      </c>
      <c r="V173" s="107" t="s">
        <v>843</v>
      </c>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row>
    <row r="174" spans="1:176" ht="31.5" x14ac:dyDescent="0.2">
      <c r="A174" s="90" t="s">
        <v>201</v>
      </c>
      <c r="B174" s="18" t="s">
        <v>586</v>
      </c>
      <c r="C174" s="13"/>
      <c r="D174" s="135"/>
      <c r="E174" s="135"/>
      <c r="F174" s="12"/>
      <c r="G174" s="53"/>
      <c r="H174" s="36"/>
      <c r="I174" s="36"/>
      <c r="J174" s="75"/>
      <c r="K174" s="78"/>
      <c r="L174" s="76">
        <f t="shared" si="3"/>
        <v>0</v>
      </c>
      <c r="M174" s="113"/>
      <c r="N174" s="113"/>
      <c r="O174" s="113"/>
      <c r="P174" s="112"/>
      <c r="Q174" s="112" t="s">
        <v>865</v>
      </c>
      <c r="R174" s="112"/>
      <c r="S174" s="143" t="s">
        <v>1157</v>
      </c>
      <c r="T174" s="114" t="s">
        <v>866</v>
      </c>
      <c r="U174" s="108" t="s">
        <v>867</v>
      </c>
      <c r="V174" s="107" t="s">
        <v>843</v>
      </c>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row>
    <row r="175" spans="1:176" ht="31.5" x14ac:dyDescent="0.2">
      <c r="A175" s="90" t="s">
        <v>202</v>
      </c>
      <c r="B175" s="18" t="s">
        <v>1211</v>
      </c>
      <c r="C175" s="13"/>
      <c r="D175" s="135"/>
      <c r="E175" s="135"/>
      <c r="F175" s="12"/>
      <c r="G175" s="53"/>
      <c r="H175" s="36"/>
      <c r="I175" s="36"/>
      <c r="J175" s="75"/>
      <c r="K175" s="78"/>
      <c r="L175" s="76">
        <f t="shared" si="3"/>
        <v>0</v>
      </c>
      <c r="M175" s="113"/>
      <c r="N175" s="113"/>
      <c r="O175" s="113"/>
      <c r="P175" s="112"/>
      <c r="Q175" s="114" t="s">
        <v>868</v>
      </c>
      <c r="R175" s="112"/>
      <c r="S175" s="112"/>
      <c r="T175" s="114" t="s">
        <v>869</v>
      </c>
      <c r="U175" s="108" t="s">
        <v>867</v>
      </c>
      <c r="V175" s="107" t="s">
        <v>843</v>
      </c>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row>
    <row r="176" spans="1:176" ht="28.5" x14ac:dyDescent="0.2">
      <c r="A176" s="90" t="s">
        <v>203</v>
      </c>
      <c r="B176" s="18" t="s">
        <v>1212</v>
      </c>
      <c r="C176" s="12"/>
      <c r="D176" s="138"/>
      <c r="E176" s="138"/>
      <c r="F176" s="12"/>
      <c r="G176" s="53"/>
      <c r="H176" s="36"/>
      <c r="I176" s="36"/>
      <c r="J176" s="75"/>
      <c r="K176" s="78"/>
      <c r="L176" s="76">
        <f t="shared" si="3"/>
        <v>0</v>
      </c>
      <c r="M176" s="113"/>
      <c r="N176" s="113"/>
      <c r="O176" s="113"/>
      <c r="P176" s="112"/>
      <c r="Q176" s="112"/>
      <c r="R176" s="112"/>
      <c r="S176" s="112"/>
      <c r="T176" s="112"/>
      <c r="U176" s="108"/>
      <c r="V176" s="107"/>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row>
    <row r="177" spans="1:176" ht="46.5" customHeight="1" x14ac:dyDescent="0.2">
      <c r="A177" s="90" t="s">
        <v>204</v>
      </c>
      <c r="B177" s="18" t="s">
        <v>1213</v>
      </c>
      <c r="C177" s="13"/>
      <c r="D177" s="135"/>
      <c r="E177" s="135"/>
      <c r="F177" s="12"/>
      <c r="G177" s="53"/>
      <c r="H177" s="36"/>
      <c r="I177" s="36"/>
      <c r="J177" s="75"/>
      <c r="K177" s="78"/>
      <c r="L177" s="76">
        <f t="shared" si="3"/>
        <v>0</v>
      </c>
      <c r="M177" s="113"/>
      <c r="N177" s="113"/>
      <c r="O177" s="113"/>
      <c r="P177" s="112"/>
      <c r="Q177" s="112"/>
      <c r="R177" s="112"/>
      <c r="S177" s="112"/>
      <c r="T177" s="112" t="s">
        <v>870</v>
      </c>
      <c r="U177" s="108"/>
      <c r="V177" s="10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row>
    <row r="178" spans="1:176" ht="18" x14ac:dyDescent="0.2">
      <c r="A178" s="90" t="s">
        <v>205</v>
      </c>
      <c r="B178" s="18" t="s">
        <v>77</v>
      </c>
      <c r="C178" s="13"/>
      <c r="D178" s="135"/>
      <c r="E178" s="135"/>
      <c r="F178" s="12"/>
      <c r="G178" s="53"/>
      <c r="H178" s="36"/>
      <c r="I178" s="36"/>
      <c r="J178" s="75"/>
      <c r="K178" s="78"/>
      <c r="L178" s="76">
        <f t="shared" si="3"/>
        <v>0</v>
      </c>
      <c r="M178" s="113"/>
      <c r="N178" s="113"/>
      <c r="O178" s="113"/>
      <c r="P178" s="112"/>
      <c r="Q178" s="112"/>
      <c r="R178" s="112"/>
      <c r="S178" s="112"/>
      <c r="T178" s="112"/>
      <c r="U178" s="108"/>
      <c r="V178" s="107"/>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row>
    <row r="179" spans="1:176" ht="31.5" x14ac:dyDescent="0.2">
      <c r="A179" s="90" t="s">
        <v>206</v>
      </c>
      <c r="B179" s="18" t="s">
        <v>101</v>
      </c>
      <c r="C179" s="13"/>
      <c r="D179" s="135"/>
      <c r="E179" s="135"/>
      <c r="F179" s="12"/>
      <c r="G179" s="53"/>
      <c r="H179" s="36"/>
      <c r="I179" s="36"/>
      <c r="J179" s="75"/>
      <c r="K179" s="78"/>
      <c r="L179" s="76">
        <f t="shared" si="3"/>
        <v>0</v>
      </c>
      <c r="M179" s="113"/>
      <c r="N179" s="113"/>
      <c r="O179" s="113"/>
      <c r="P179" s="112" t="s">
        <v>871</v>
      </c>
      <c r="Q179" s="112" t="s">
        <v>871</v>
      </c>
      <c r="R179" s="114" t="s">
        <v>872</v>
      </c>
      <c r="S179" s="143" t="s">
        <v>1124</v>
      </c>
      <c r="T179" s="114" t="s">
        <v>873</v>
      </c>
      <c r="U179" s="108"/>
      <c r="V179" s="107" t="s">
        <v>874</v>
      </c>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row>
    <row r="180" spans="1:176" ht="47.25" x14ac:dyDescent="0.2">
      <c r="A180" s="90" t="s">
        <v>207</v>
      </c>
      <c r="B180" s="18" t="s">
        <v>102</v>
      </c>
      <c r="C180" s="13"/>
      <c r="D180" s="135"/>
      <c r="E180" s="135"/>
      <c r="F180" s="12"/>
      <c r="G180" s="53"/>
      <c r="H180" s="36"/>
      <c r="I180" s="36"/>
      <c r="J180" s="75"/>
      <c r="K180" s="78"/>
      <c r="L180" s="76">
        <f t="shared" si="3"/>
        <v>0</v>
      </c>
      <c r="M180" s="113"/>
      <c r="N180" s="113"/>
      <c r="O180" s="113"/>
      <c r="P180" s="112" t="s">
        <v>844</v>
      </c>
      <c r="Q180" s="114" t="s">
        <v>875</v>
      </c>
      <c r="R180" s="112" t="s">
        <v>845</v>
      </c>
      <c r="S180" s="143" t="s">
        <v>1122</v>
      </c>
      <c r="T180" s="114" t="s">
        <v>876</v>
      </c>
      <c r="U180" s="108" t="s">
        <v>847</v>
      </c>
      <c r="V180" s="117" t="s">
        <v>877</v>
      </c>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row>
    <row r="181" spans="1:176" ht="47.25" x14ac:dyDescent="0.2">
      <c r="A181" s="90" t="s">
        <v>253</v>
      </c>
      <c r="B181" s="18" t="s">
        <v>246</v>
      </c>
      <c r="C181" s="13"/>
      <c r="D181" s="135"/>
      <c r="E181" s="135"/>
      <c r="F181" s="12"/>
      <c r="G181" s="53"/>
      <c r="H181" s="36"/>
      <c r="I181" s="36"/>
      <c r="J181" s="75"/>
      <c r="K181" s="78"/>
      <c r="L181" s="76">
        <f t="shared" si="3"/>
        <v>0</v>
      </c>
      <c r="M181" s="113"/>
      <c r="N181" s="113"/>
      <c r="O181" s="113"/>
      <c r="P181" s="112" t="s">
        <v>878</v>
      </c>
      <c r="Q181" s="112" t="s">
        <v>878</v>
      </c>
      <c r="R181" s="112"/>
      <c r="S181" s="143" t="s">
        <v>1164</v>
      </c>
      <c r="T181" s="114" t="s">
        <v>879</v>
      </c>
      <c r="U181" s="116" t="s">
        <v>880</v>
      </c>
      <c r="V181" s="107" t="s">
        <v>718</v>
      </c>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row>
    <row r="182" spans="1:176" ht="108" x14ac:dyDescent="0.2">
      <c r="A182" s="190" t="s">
        <v>147</v>
      </c>
      <c r="B182" s="190"/>
      <c r="C182" s="141" t="str">
        <f>"Response for " &amp; C45</f>
        <v>Response for Supplier Systems</v>
      </c>
      <c r="D182" s="132" t="s">
        <v>526</v>
      </c>
      <c r="E182" s="132" t="s">
        <v>99</v>
      </c>
      <c r="F182" s="2" t="s">
        <v>17</v>
      </c>
      <c r="G182" s="2" t="s">
        <v>18</v>
      </c>
      <c r="H182" s="2" t="s">
        <v>339</v>
      </c>
      <c r="I182" s="2" t="s">
        <v>365</v>
      </c>
      <c r="J182" s="224" t="s">
        <v>566</v>
      </c>
      <c r="K182" s="225"/>
      <c r="L182" s="74">
        <f>SUM(L183:L207)</f>
        <v>0</v>
      </c>
      <c r="M182" s="94" t="s">
        <v>602</v>
      </c>
      <c r="N182" s="94" t="s">
        <v>603</v>
      </c>
      <c r="O182" s="94" t="s">
        <v>604</v>
      </c>
      <c r="P182" s="95" t="s">
        <v>605</v>
      </c>
      <c r="Q182" s="95" t="s">
        <v>606</v>
      </c>
      <c r="R182" s="95" t="s">
        <v>607</v>
      </c>
      <c r="S182" s="96" t="s">
        <v>1086</v>
      </c>
      <c r="T182" s="97" t="s">
        <v>610</v>
      </c>
      <c r="U182" s="95" t="s">
        <v>613</v>
      </c>
      <c r="V182" s="95" t="s">
        <v>617</v>
      </c>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row>
    <row r="183" spans="1:176" ht="141.75" x14ac:dyDescent="0.2">
      <c r="A183" s="90" t="s">
        <v>47</v>
      </c>
      <c r="B183" s="18" t="s">
        <v>1092</v>
      </c>
      <c r="C183" s="13"/>
      <c r="D183" s="135"/>
      <c r="E183" s="135"/>
      <c r="F183" s="11"/>
      <c r="G183" s="53" t="str">
        <f>IF(C183="","",IF(C183="Yes","Please state the algorithm/method used to achieve encryption in transit.","Please describe plans to encrypt data-in-transit."))</f>
        <v/>
      </c>
      <c r="H183" s="36">
        <v>18</v>
      </c>
      <c r="I183" s="36" t="s">
        <v>427</v>
      </c>
      <c r="J183" s="75"/>
      <c r="K183" s="78"/>
      <c r="L183" s="76">
        <f t="shared" si="3"/>
        <v>0</v>
      </c>
      <c r="M183" s="113"/>
      <c r="N183" s="113" t="s">
        <v>1061</v>
      </c>
      <c r="O183" s="113"/>
      <c r="P183" s="112" t="s">
        <v>705</v>
      </c>
      <c r="Q183" s="112" t="s">
        <v>706</v>
      </c>
      <c r="R183" s="114" t="s">
        <v>881</v>
      </c>
      <c r="S183" s="148" t="s">
        <v>1148</v>
      </c>
      <c r="T183" s="114" t="s">
        <v>882</v>
      </c>
      <c r="U183" s="116" t="s">
        <v>883</v>
      </c>
      <c r="V183" s="117" t="s">
        <v>731</v>
      </c>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row>
    <row r="184" spans="1:176" ht="94.5" x14ac:dyDescent="0.2">
      <c r="A184" s="90" t="s">
        <v>208</v>
      </c>
      <c r="B184" s="18" t="s">
        <v>500</v>
      </c>
      <c r="C184" s="13"/>
      <c r="D184" s="135"/>
      <c r="E184" s="135"/>
      <c r="F184" s="11"/>
      <c r="G184" s="53"/>
      <c r="H184" s="36">
        <v>44</v>
      </c>
      <c r="I184" s="36" t="s">
        <v>428</v>
      </c>
      <c r="J184" s="75"/>
      <c r="K184" s="78"/>
      <c r="L184" s="76">
        <f t="shared" si="3"/>
        <v>0</v>
      </c>
      <c r="M184" s="113"/>
      <c r="N184" s="113"/>
      <c r="O184" s="113" t="s">
        <v>1066</v>
      </c>
      <c r="P184" s="112" t="s">
        <v>726</v>
      </c>
      <c r="Q184" s="112" t="s">
        <v>726</v>
      </c>
      <c r="R184" s="112" t="s">
        <v>884</v>
      </c>
      <c r="S184" s="143" t="s">
        <v>1146</v>
      </c>
      <c r="T184" s="114" t="s">
        <v>885</v>
      </c>
      <c r="U184" s="116" t="s">
        <v>886</v>
      </c>
      <c r="V184" s="117" t="s">
        <v>731</v>
      </c>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row>
    <row r="185" spans="1:176" ht="126" x14ac:dyDescent="0.2">
      <c r="A185" s="90" t="s">
        <v>48</v>
      </c>
      <c r="B185" s="18" t="s">
        <v>474</v>
      </c>
      <c r="C185" s="13"/>
      <c r="D185" s="135"/>
      <c r="E185" s="135"/>
      <c r="F185" s="11"/>
      <c r="G185" s="53" t="str">
        <f>IF(C185="","",IF(C185="Yes","Please state the algorithm/method used to achieve encryption in transit.","Please describe plans to encrypt data-in-transit."))</f>
        <v/>
      </c>
      <c r="H185" s="36">
        <v>42</v>
      </c>
      <c r="I185" s="36" t="s">
        <v>429</v>
      </c>
      <c r="J185" s="75"/>
      <c r="K185" s="78"/>
      <c r="L185" s="76">
        <f t="shared" si="3"/>
        <v>0</v>
      </c>
      <c r="M185" s="113"/>
      <c r="N185" s="115" t="s">
        <v>1062</v>
      </c>
      <c r="O185" s="113"/>
      <c r="P185" s="114" t="s">
        <v>887</v>
      </c>
      <c r="Q185" s="114" t="s">
        <v>888</v>
      </c>
      <c r="R185" s="114" t="s">
        <v>889</v>
      </c>
      <c r="S185" s="143" t="s">
        <v>1147</v>
      </c>
      <c r="T185" s="114" t="s">
        <v>890</v>
      </c>
      <c r="U185" s="108" t="s">
        <v>730</v>
      </c>
      <c r="V185" s="117" t="s">
        <v>731</v>
      </c>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row>
    <row r="186" spans="1:176" ht="78.75" x14ac:dyDescent="0.2">
      <c r="A186" s="90" t="s">
        <v>49</v>
      </c>
      <c r="B186" s="18" t="s">
        <v>1214</v>
      </c>
      <c r="C186" s="13"/>
      <c r="D186" s="135"/>
      <c r="E186" s="135"/>
      <c r="F186" s="11"/>
      <c r="G186" s="53" t="str">
        <f>IF(C186="","",IF(C186="Yes","Please state the algorithm/method used to achieve encryption at rest.","Please describe plans to encrypt data-at-rest."))</f>
        <v/>
      </c>
      <c r="H186" s="36"/>
      <c r="I186" s="36" t="s">
        <v>430</v>
      </c>
      <c r="J186" s="75"/>
      <c r="K186" s="78"/>
      <c r="L186" s="76">
        <f t="shared" si="3"/>
        <v>0</v>
      </c>
      <c r="M186" s="113"/>
      <c r="N186" s="113"/>
      <c r="O186" s="113"/>
      <c r="P186" s="112" t="s">
        <v>726</v>
      </c>
      <c r="Q186" s="112" t="s">
        <v>726</v>
      </c>
      <c r="R186" s="114" t="s">
        <v>835</v>
      </c>
      <c r="S186" s="143" t="s">
        <v>1146</v>
      </c>
      <c r="T186" s="114" t="s">
        <v>891</v>
      </c>
      <c r="U186" s="108" t="s">
        <v>730</v>
      </c>
      <c r="V186" s="107" t="s">
        <v>692</v>
      </c>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row>
    <row r="187" spans="1:176" ht="63" x14ac:dyDescent="0.2">
      <c r="A187" s="90" t="s">
        <v>50</v>
      </c>
      <c r="B187" s="18" t="s">
        <v>63</v>
      </c>
      <c r="C187" s="13"/>
      <c r="D187" s="135"/>
      <c r="E187" s="135"/>
      <c r="F187" s="11"/>
      <c r="G187" s="53"/>
      <c r="H187" s="36"/>
      <c r="I187" s="36"/>
      <c r="J187" s="75"/>
      <c r="K187" s="78"/>
      <c r="L187" s="76">
        <f t="shared" si="3"/>
        <v>0</v>
      </c>
      <c r="M187" s="113"/>
      <c r="N187" s="113"/>
      <c r="O187" s="113"/>
      <c r="P187" s="112"/>
      <c r="Q187" s="112" t="s">
        <v>848</v>
      </c>
      <c r="R187" s="112"/>
      <c r="S187" s="143" t="s">
        <v>1142</v>
      </c>
      <c r="T187" s="114" t="s">
        <v>892</v>
      </c>
      <c r="U187" s="108" t="s">
        <v>851</v>
      </c>
      <c r="V187" s="107" t="s">
        <v>843</v>
      </c>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row>
    <row r="188" spans="1:176" ht="63" x14ac:dyDescent="0.2">
      <c r="A188" s="90" t="s">
        <v>51</v>
      </c>
      <c r="B188" s="18" t="s">
        <v>501</v>
      </c>
      <c r="C188" s="13"/>
      <c r="D188" s="135"/>
      <c r="E188" s="135"/>
      <c r="F188" s="24"/>
      <c r="G188" s="53"/>
      <c r="H188" s="36"/>
      <c r="I188" s="36" t="s">
        <v>431</v>
      </c>
      <c r="J188" s="75"/>
      <c r="K188" s="78"/>
      <c r="L188" s="76">
        <f t="shared" si="3"/>
        <v>0</v>
      </c>
      <c r="M188" s="113"/>
      <c r="N188" s="113"/>
      <c r="O188" s="113"/>
      <c r="P188" s="112"/>
      <c r="Q188" s="112" t="s">
        <v>893</v>
      </c>
      <c r="R188" s="112" t="s">
        <v>894</v>
      </c>
      <c r="S188" s="112"/>
      <c r="T188" s="114" t="s">
        <v>895</v>
      </c>
      <c r="U188" s="108" t="s">
        <v>730</v>
      </c>
      <c r="V188" s="107" t="s">
        <v>692</v>
      </c>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row>
    <row r="189" spans="1:176" ht="126" x14ac:dyDescent="0.2">
      <c r="A189" s="90" t="s">
        <v>52</v>
      </c>
      <c r="B189" s="18" t="s">
        <v>1097</v>
      </c>
      <c r="C189" s="13"/>
      <c r="D189" s="135"/>
      <c r="E189" s="135"/>
      <c r="F189" s="24"/>
      <c r="G189" s="53" t="str">
        <f>IF(C189="","",IF(C189="Yes","Please describe or provide a reference to this program.",""))</f>
        <v/>
      </c>
      <c r="H189" s="36">
        <v>38</v>
      </c>
      <c r="I189" s="36" t="s">
        <v>432</v>
      </c>
      <c r="J189" s="75"/>
      <c r="K189" s="78"/>
      <c r="L189" s="76">
        <f t="shared" si="3"/>
        <v>0</v>
      </c>
      <c r="M189" s="113"/>
      <c r="N189" s="113"/>
      <c r="O189" s="113"/>
      <c r="P189" s="114" t="s">
        <v>896</v>
      </c>
      <c r="Q189" s="114" t="s">
        <v>896</v>
      </c>
      <c r="R189" s="114" t="s">
        <v>897</v>
      </c>
      <c r="S189" s="148" t="s">
        <v>1177</v>
      </c>
      <c r="T189" s="114" t="s">
        <v>898</v>
      </c>
      <c r="U189" s="116" t="s">
        <v>899</v>
      </c>
      <c r="V189" s="117" t="s">
        <v>900</v>
      </c>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row>
    <row r="190" spans="1:176" ht="63" x14ac:dyDescent="0.2">
      <c r="A190" s="90" t="s">
        <v>53</v>
      </c>
      <c r="B190" s="18" t="s">
        <v>1098</v>
      </c>
      <c r="C190" s="13"/>
      <c r="D190" s="135"/>
      <c r="E190" s="135"/>
      <c r="F190" s="24"/>
      <c r="G190" s="53" t="str">
        <f>IF(C190="","",IF(C190="Yes","","Please identify technologies that are not covered by your program, and how data is secured as it pertains to these technologies."))</f>
        <v/>
      </c>
      <c r="H190" s="36">
        <v>41</v>
      </c>
      <c r="I190" s="36" t="s">
        <v>433</v>
      </c>
      <c r="J190" s="75"/>
      <c r="K190" s="78"/>
      <c r="L190" s="76">
        <f t="shared" si="3"/>
        <v>0</v>
      </c>
      <c r="M190" s="113"/>
      <c r="N190" s="113"/>
      <c r="O190" s="113"/>
      <c r="P190" s="112" t="s">
        <v>901</v>
      </c>
      <c r="Q190" s="112" t="s">
        <v>901</v>
      </c>
      <c r="R190" s="114" t="s">
        <v>897</v>
      </c>
      <c r="S190" s="143" t="s">
        <v>1178</v>
      </c>
      <c r="T190" s="112" t="s">
        <v>646</v>
      </c>
      <c r="U190" s="116" t="s">
        <v>902</v>
      </c>
      <c r="V190" s="117" t="s">
        <v>903</v>
      </c>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row>
    <row r="191" spans="1:176" ht="110.25" x14ac:dyDescent="0.2">
      <c r="A191" s="90" t="s">
        <v>54</v>
      </c>
      <c r="B191" s="18" t="s">
        <v>1096</v>
      </c>
      <c r="C191" s="13"/>
      <c r="D191" s="135"/>
      <c r="E191" s="135"/>
      <c r="F191" s="24"/>
      <c r="G191" s="53"/>
      <c r="H191" s="36">
        <v>43</v>
      </c>
      <c r="I191" s="36" t="s">
        <v>434</v>
      </c>
      <c r="J191" s="75"/>
      <c r="K191" s="78"/>
      <c r="L191" s="76">
        <f t="shared" si="3"/>
        <v>0</v>
      </c>
      <c r="M191" s="113"/>
      <c r="N191" s="115" t="s">
        <v>1058</v>
      </c>
      <c r="O191" s="113" t="s">
        <v>1075</v>
      </c>
      <c r="P191" s="114" t="s">
        <v>659</v>
      </c>
      <c r="Q191" s="114" t="s">
        <v>659</v>
      </c>
      <c r="R191" s="112" t="s">
        <v>904</v>
      </c>
      <c r="S191" s="143" t="s">
        <v>1122</v>
      </c>
      <c r="T191" s="114" t="s">
        <v>905</v>
      </c>
      <c r="U191" s="116" t="s">
        <v>699</v>
      </c>
      <c r="V191" s="117" t="s">
        <v>906</v>
      </c>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row>
    <row r="192" spans="1:176" ht="126" x14ac:dyDescent="0.2">
      <c r="A192" s="90" t="s">
        <v>55</v>
      </c>
      <c r="B192" s="18" t="s">
        <v>298</v>
      </c>
      <c r="C192" s="13"/>
      <c r="D192" s="135"/>
      <c r="E192" s="135"/>
      <c r="F192" s="24"/>
      <c r="G192" s="53" t="str">
        <f>IF(C192="","",IF(C192="Yes","Please describe your data loss prevention program and platforms supported.","State any plans to implement data loss prevention capabilities."))</f>
        <v/>
      </c>
      <c r="H192" s="36">
        <v>45</v>
      </c>
      <c r="I192" s="36" t="s">
        <v>435</v>
      </c>
      <c r="J192" s="75"/>
      <c r="K192" s="78"/>
      <c r="L192" s="76">
        <f t="shared" si="3"/>
        <v>0</v>
      </c>
      <c r="M192" s="113"/>
      <c r="N192" s="113"/>
      <c r="O192" s="113"/>
      <c r="P192" s="114" t="s">
        <v>907</v>
      </c>
      <c r="Q192" s="114" t="s">
        <v>908</v>
      </c>
      <c r="R192" s="112" t="s">
        <v>849</v>
      </c>
      <c r="S192" s="148" t="s">
        <v>1150</v>
      </c>
      <c r="T192" s="114" t="s">
        <v>909</v>
      </c>
      <c r="U192" s="116" t="s">
        <v>910</v>
      </c>
      <c r="V192" s="107" t="s">
        <v>874</v>
      </c>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row>
    <row r="193" spans="1:176" ht="63" x14ac:dyDescent="0.2">
      <c r="A193" s="90" t="s">
        <v>209</v>
      </c>
      <c r="B193" s="18" t="s">
        <v>304</v>
      </c>
      <c r="C193" s="13"/>
      <c r="D193" s="135"/>
      <c r="E193" s="135"/>
      <c r="F193" s="24"/>
      <c r="G193" s="53" t="str">
        <f>IF(C193="","",IF(C193="Yes","Please describe the process(es) and/or control(s).",""))</f>
        <v/>
      </c>
      <c r="H193" s="36">
        <v>52</v>
      </c>
      <c r="I193" s="36" t="s">
        <v>436</v>
      </c>
      <c r="J193" s="75"/>
      <c r="K193" s="78"/>
      <c r="L193" s="76">
        <f t="shared" si="3"/>
        <v>0</v>
      </c>
      <c r="M193" s="113"/>
      <c r="N193" s="113" t="s">
        <v>1061</v>
      </c>
      <c r="O193" s="113"/>
      <c r="P193" s="112" t="s">
        <v>911</v>
      </c>
      <c r="Q193" s="112" t="s">
        <v>911</v>
      </c>
      <c r="R193" s="112" t="s">
        <v>912</v>
      </c>
      <c r="S193" s="148" t="s">
        <v>1163</v>
      </c>
      <c r="T193" s="114" t="s">
        <v>913</v>
      </c>
      <c r="U193" s="116" t="s">
        <v>914</v>
      </c>
      <c r="V193" s="117" t="s">
        <v>915</v>
      </c>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row>
    <row r="194" spans="1:176" ht="18" x14ac:dyDescent="0.2">
      <c r="A194" s="90" t="s">
        <v>210</v>
      </c>
      <c r="B194" s="18" t="s">
        <v>464</v>
      </c>
      <c r="C194" s="13"/>
      <c r="D194" s="135"/>
      <c r="E194" s="135"/>
      <c r="F194" s="19"/>
      <c r="G194" s="53" t="str">
        <f>IF(C194="","",IF(C194="Yes","Describe the on-site staff capabilities.","State any plans to staff data centers 24x7x365."))</f>
        <v/>
      </c>
      <c r="H194" s="36"/>
      <c r="I194" s="36"/>
      <c r="J194" s="75"/>
      <c r="K194" s="78"/>
      <c r="L194" s="76">
        <f t="shared" si="3"/>
        <v>0</v>
      </c>
      <c r="M194" s="113"/>
      <c r="N194" s="113"/>
      <c r="O194" s="113"/>
      <c r="P194" s="112" t="s">
        <v>837</v>
      </c>
      <c r="Q194" s="112" t="s">
        <v>837</v>
      </c>
      <c r="R194" s="112"/>
      <c r="S194" s="143" t="s">
        <v>1161</v>
      </c>
      <c r="T194" s="112" t="s">
        <v>916</v>
      </c>
      <c r="U194" s="108" t="s">
        <v>917</v>
      </c>
      <c r="V194" s="107" t="s">
        <v>843</v>
      </c>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row>
    <row r="195" spans="1:176" ht="18" x14ac:dyDescent="0.2">
      <c r="A195" s="90" t="s">
        <v>56</v>
      </c>
      <c r="B195" s="18" t="s">
        <v>1100</v>
      </c>
      <c r="C195" s="13"/>
      <c r="D195" s="135"/>
      <c r="E195" s="135"/>
      <c r="F195" s="24"/>
      <c r="G195" s="53" t="str">
        <f>IF(C195="","",IF(C195="Yes","Please describe why logical segregation of data is not implemented/possible in your environment.","Please describe how data is segregated."))</f>
        <v/>
      </c>
      <c r="H195" s="36"/>
      <c r="I195" s="36"/>
      <c r="J195" s="75"/>
      <c r="K195" s="78"/>
      <c r="L195" s="76">
        <f t="shared" si="3"/>
        <v>0</v>
      </c>
      <c r="M195" s="113"/>
      <c r="N195" s="113"/>
      <c r="O195" s="113"/>
      <c r="P195" s="112"/>
      <c r="Q195" s="112"/>
      <c r="R195" s="112"/>
      <c r="S195" s="112"/>
      <c r="T195" s="112"/>
      <c r="U195" s="108"/>
      <c r="V195" s="107"/>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row>
    <row r="196" spans="1:176" ht="28.5" x14ac:dyDescent="0.2">
      <c r="A196" s="90" t="s">
        <v>58</v>
      </c>
      <c r="B196" s="18" t="s">
        <v>1215</v>
      </c>
      <c r="C196" s="13"/>
      <c r="D196" s="135"/>
      <c r="E196" s="135"/>
      <c r="F196" s="24"/>
      <c r="G196" s="53"/>
      <c r="H196" s="36"/>
      <c r="I196" s="36"/>
      <c r="J196" s="75"/>
      <c r="K196" s="78"/>
      <c r="L196" s="76">
        <f t="shared" si="3"/>
        <v>0</v>
      </c>
      <c r="M196" s="113"/>
      <c r="N196" s="113"/>
      <c r="O196" s="113"/>
      <c r="P196" s="112"/>
      <c r="Q196" s="112"/>
      <c r="R196" s="112"/>
      <c r="S196" s="112"/>
      <c r="T196" s="112"/>
      <c r="U196" s="108"/>
      <c r="V196" s="107"/>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row>
    <row r="197" spans="1:176" ht="47.25" x14ac:dyDescent="0.2">
      <c r="A197" s="90" t="s">
        <v>59</v>
      </c>
      <c r="B197" s="18" t="s">
        <v>127</v>
      </c>
      <c r="C197" s="13"/>
      <c r="D197" s="135"/>
      <c r="E197" s="135"/>
      <c r="F197" s="24"/>
      <c r="G197" s="53" t="str">
        <f>IF(C197="","",IF(C197="Yes","Please state the algorithm/method used to achieve encryption of databases.","Please describe plans to emcrypt databases."))</f>
        <v/>
      </c>
      <c r="H197" s="36"/>
      <c r="I197" s="36"/>
      <c r="J197" s="75"/>
      <c r="K197" s="78"/>
      <c r="L197" s="76">
        <f t="shared" si="3"/>
        <v>0</v>
      </c>
      <c r="M197" s="113"/>
      <c r="N197" s="113"/>
      <c r="O197" s="113"/>
      <c r="P197" s="112" t="s">
        <v>726</v>
      </c>
      <c r="Q197" s="112" t="s">
        <v>726</v>
      </c>
      <c r="R197" s="112" t="s">
        <v>884</v>
      </c>
      <c r="S197" s="143" t="s">
        <v>1146</v>
      </c>
      <c r="T197" s="114" t="s">
        <v>918</v>
      </c>
      <c r="U197" s="108" t="s">
        <v>730</v>
      </c>
      <c r="V197" s="107" t="s">
        <v>692</v>
      </c>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row>
    <row r="198" spans="1:176" ht="47.25" x14ac:dyDescent="0.2">
      <c r="A198" s="90" t="s">
        <v>61</v>
      </c>
      <c r="B198" s="18" t="s">
        <v>1216</v>
      </c>
      <c r="C198" s="13"/>
      <c r="D198" s="135"/>
      <c r="E198" s="135"/>
      <c r="F198" s="24"/>
      <c r="G198" s="53" t="str">
        <f>IF(C198="","",IF(C198="Yes","Please state the algorithm/method used to encrypt unstructured data.","Please describe plans to implement the encryption of unstructured data."))</f>
        <v/>
      </c>
      <c r="H198" s="36"/>
      <c r="I198" s="36"/>
      <c r="J198" s="75"/>
      <c r="K198" s="78"/>
      <c r="L198" s="76">
        <f t="shared" si="3"/>
        <v>0</v>
      </c>
      <c r="M198" s="113"/>
      <c r="N198" s="113"/>
      <c r="O198" s="113"/>
      <c r="P198" s="112" t="s">
        <v>726</v>
      </c>
      <c r="Q198" s="112" t="s">
        <v>726</v>
      </c>
      <c r="R198" s="112" t="s">
        <v>884</v>
      </c>
      <c r="S198" s="143" t="s">
        <v>1146</v>
      </c>
      <c r="T198" s="114" t="s">
        <v>918</v>
      </c>
      <c r="U198" s="108" t="s">
        <v>730</v>
      </c>
      <c r="V198" s="107" t="s">
        <v>692</v>
      </c>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row>
    <row r="199" spans="1:176" ht="47.25" x14ac:dyDescent="0.2">
      <c r="A199" s="90" t="s">
        <v>211</v>
      </c>
      <c r="B199" s="18" t="s">
        <v>135</v>
      </c>
      <c r="C199" s="13"/>
      <c r="D199" s="135"/>
      <c r="E199" s="135"/>
      <c r="F199" s="24"/>
      <c r="G199" s="53" t="str">
        <f>IF(C199="","",IF(C199="Yes","Please describe how workstations and mobile devices are encrypted.","Describe plans to encrypt workstations and/or mobile devices."))</f>
        <v/>
      </c>
      <c r="H199" s="36"/>
      <c r="I199" s="36"/>
      <c r="J199" s="75"/>
      <c r="K199" s="78"/>
      <c r="L199" s="76">
        <f t="shared" si="3"/>
        <v>0</v>
      </c>
      <c r="M199" s="113"/>
      <c r="N199" s="113"/>
      <c r="O199" s="113" t="s">
        <v>1069</v>
      </c>
      <c r="P199" s="112" t="s">
        <v>726</v>
      </c>
      <c r="Q199" s="112" t="s">
        <v>726</v>
      </c>
      <c r="R199" s="112" t="s">
        <v>884</v>
      </c>
      <c r="S199" s="143" t="s">
        <v>1146</v>
      </c>
      <c r="T199" s="114" t="s">
        <v>918</v>
      </c>
      <c r="U199" s="108" t="s">
        <v>730</v>
      </c>
      <c r="V199" s="107" t="s">
        <v>692</v>
      </c>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row>
    <row r="200" spans="1:176" ht="18" x14ac:dyDescent="0.2">
      <c r="A200" s="90" t="s">
        <v>295</v>
      </c>
      <c r="B200" s="18" t="s">
        <v>117</v>
      </c>
      <c r="C200" s="13"/>
      <c r="D200" s="135"/>
      <c r="E200" s="135"/>
      <c r="F200" s="24"/>
      <c r="G200" s="53"/>
      <c r="H200" s="36"/>
      <c r="I200" s="36"/>
      <c r="J200" s="75"/>
      <c r="K200" s="78"/>
      <c r="L200" s="76">
        <f t="shared" si="3"/>
        <v>0</v>
      </c>
      <c r="M200" s="113"/>
      <c r="N200" s="113"/>
      <c r="O200" s="113"/>
      <c r="P200" s="112"/>
      <c r="Q200" s="112"/>
      <c r="R200" s="112"/>
      <c r="S200" s="112"/>
      <c r="T200" s="112"/>
      <c r="U200" s="108"/>
      <c r="V200" s="107"/>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row>
    <row r="201" spans="1:176" ht="47.25" x14ac:dyDescent="0.2">
      <c r="A201" s="90" t="s">
        <v>296</v>
      </c>
      <c r="B201" s="18" t="s">
        <v>587</v>
      </c>
      <c r="C201" s="13"/>
      <c r="D201" s="135"/>
      <c r="E201" s="135"/>
      <c r="F201" s="24"/>
      <c r="G201" s="53" t="str">
        <f>IF(C201="","",IF(C201="Yes","Please state the algorithm/method used to achieve encrypt data over TCP/IP.","Please describe plans to encrypt data over TCP/IP."))</f>
        <v/>
      </c>
      <c r="H201" s="36"/>
      <c r="I201" s="36" t="s">
        <v>430</v>
      </c>
      <c r="J201" s="75"/>
      <c r="K201" s="78"/>
      <c r="L201" s="76">
        <f t="shared" si="3"/>
        <v>0</v>
      </c>
      <c r="M201" s="113"/>
      <c r="N201" s="113" t="s">
        <v>1061</v>
      </c>
      <c r="O201" s="113"/>
      <c r="P201" s="112" t="s">
        <v>624</v>
      </c>
      <c r="Q201" s="112" t="s">
        <v>624</v>
      </c>
      <c r="R201" s="114" t="s">
        <v>919</v>
      </c>
      <c r="S201" s="143" t="s">
        <v>1147</v>
      </c>
      <c r="T201" s="114" t="s">
        <v>920</v>
      </c>
      <c r="U201" s="116" t="s">
        <v>921</v>
      </c>
      <c r="V201" s="107" t="s">
        <v>874</v>
      </c>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row>
    <row r="202" spans="1:176" ht="28.5" x14ac:dyDescent="0.2">
      <c r="A202" s="90" t="s">
        <v>297</v>
      </c>
      <c r="B202" s="18" t="s">
        <v>1217</v>
      </c>
      <c r="C202" s="49"/>
      <c r="D202" s="135"/>
      <c r="E202" s="135"/>
      <c r="F202" s="11"/>
      <c r="G202" s="53" t="s">
        <v>249</v>
      </c>
      <c r="H202" s="36"/>
      <c r="I202" s="36"/>
      <c r="J202" s="75"/>
      <c r="K202" s="78"/>
      <c r="L202" s="76">
        <f t="shared" si="3"/>
        <v>0</v>
      </c>
      <c r="M202" s="113"/>
      <c r="N202" s="113"/>
      <c r="O202" s="113"/>
      <c r="P202" s="112"/>
      <c r="Q202" s="112"/>
      <c r="R202" s="112"/>
      <c r="S202" s="112"/>
      <c r="T202" s="112"/>
      <c r="U202" s="108"/>
      <c r="V202" s="107"/>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row>
    <row r="203" spans="1:176" ht="18" x14ac:dyDescent="0.2">
      <c r="A203" s="90" t="s">
        <v>303</v>
      </c>
      <c r="B203" s="18" t="s">
        <v>1218</v>
      </c>
      <c r="C203" s="49"/>
      <c r="D203" s="135"/>
      <c r="E203" s="135"/>
      <c r="F203" s="11"/>
      <c r="G203" s="149" t="str">
        <f>IF(C203="","",IF(C203="Yes","Please list all cloud providers that will host entity data.",""))</f>
        <v/>
      </c>
      <c r="H203" s="36"/>
      <c r="I203" s="36"/>
      <c r="J203" s="75"/>
      <c r="K203" s="78"/>
      <c r="L203" s="76">
        <f t="shared" si="3"/>
        <v>0</v>
      </c>
      <c r="M203" s="113"/>
      <c r="N203" s="113"/>
      <c r="O203" s="113"/>
      <c r="P203" s="112"/>
      <c r="Q203" s="112"/>
      <c r="R203" s="112"/>
      <c r="S203" s="112"/>
      <c r="T203" s="112"/>
      <c r="U203" s="108"/>
      <c r="V203" s="107"/>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row>
    <row r="204" spans="1:176" ht="63" x14ac:dyDescent="0.2">
      <c r="A204" s="90" t="s">
        <v>331</v>
      </c>
      <c r="B204" s="18" t="s">
        <v>57</v>
      </c>
      <c r="C204" s="49"/>
      <c r="D204" s="135"/>
      <c r="E204" s="135"/>
      <c r="F204" s="11"/>
      <c r="G204" s="53"/>
      <c r="H204" s="36"/>
      <c r="I204" s="36"/>
      <c r="J204" s="75"/>
      <c r="K204" s="78"/>
      <c r="L204" s="76">
        <f t="shared" si="3"/>
        <v>0</v>
      </c>
      <c r="M204" s="113"/>
      <c r="N204" s="113"/>
      <c r="O204" s="113"/>
      <c r="P204" s="112"/>
      <c r="Q204" s="112" t="s">
        <v>848</v>
      </c>
      <c r="R204" s="112"/>
      <c r="S204" s="143" t="s">
        <v>1142</v>
      </c>
      <c r="T204" s="114" t="s">
        <v>892</v>
      </c>
      <c r="U204" s="108" t="s">
        <v>851</v>
      </c>
      <c r="V204" s="107" t="s">
        <v>843</v>
      </c>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row>
    <row r="205" spans="1:176" ht="63" x14ac:dyDescent="0.2">
      <c r="A205" s="90" t="s">
        <v>348</v>
      </c>
      <c r="B205" s="18" t="s">
        <v>62</v>
      </c>
      <c r="C205" s="13"/>
      <c r="D205" s="135"/>
      <c r="E205" s="135"/>
      <c r="F205" s="11"/>
      <c r="G205" s="53" t="str">
        <f>IF(C205="","",IF(C205="Yes","Please specify the algorithm used to encrypt data backups.","State any plans to encrypt data backups."))</f>
        <v/>
      </c>
      <c r="H205" s="36"/>
      <c r="I205" s="36"/>
      <c r="J205" s="75"/>
      <c r="K205" s="78"/>
      <c r="L205" s="76">
        <f t="shared" si="3"/>
        <v>0</v>
      </c>
      <c r="M205" s="113"/>
      <c r="N205" s="113"/>
      <c r="O205" s="113"/>
      <c r="P205" s="112"/>
      <c r="Q205" s="112" t="s">
        <v>848</v>
      </c>
      <c r="R205" s="112" t="s">
        <v>849</v>
      </c>
      <c r="S205" s="148" t="s">
        <v>1151</v>
      </c>
      <c r="T205" s="114" t="s">
        <v>892</v>
      </c>
      <c r="U205" s="116" t="s">
        <v>922</v>
      </c>
      <c r="V205" s="107" t="s">
        <v>874</v>
      </c>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row>
    <row r="206" spans="1:176" ht="31.5" x14ac:dyDescent="0.2">
      <c r="A206" s="90" t="s">
        <v>349</v>
      </c>
      <c r="B206" s="18" t="s">
        <v>502</v>
      </c>
      <c r="C206" s="13"/>
      <c r="D206" s="135"/>
      <c r="E206" s="135"/>
      <c r="F206" s="11"/>
      <c r="G206" s="53"/>
      <c r="H206" s="36"/>
      <c r="I206" s="36"/>
      <c r="J206" s="75"/>
      <c r="K206" s="78"/>
      <c r="L206" s="76">
        <f t="shared" si="3"/>
        <v>0</v>
      </c>
      <c r="M206" s="113"/>
      <c r="N206" s="113"/>
      <c r="O206" s="113"/>
      <c r="P206" s="112"/>
      <c r="Q206" s="112" t="s">
        <v>848</v>
      </c>
      <c r="R206" s="112"/>
      <c r="S206" s="143" t="s">
        <v>1142</v>
      </c>
      <c r="T206" s="114" t="s">
        <v>923</v>
      </c>
      <c r="U206" s="108" t="s">
        <v>851</v>
      </c>
      <c r="V206" s="107" t="s">
        <v>843</v>
      </c>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row>
    <row r="207" spans="1:176" ht="31.5" x14ac:dyDescent="0.2">
      <c r="A207" s="90" t="s">
        <v>547</v>
      </c>
      <c r="B207" s="18" t="s">
        <v>588</v>
      </c>
      <c r="C207" s="13"/>
      <c r="D207" s="135"/>
      <c r="E207" s="135"/>
      <c r="F207" s="11"/>
      <c r="G207" s="63"/>
      <c r="H207" s="36"/>
      <c r="I207" s="36" t="s">
        <v>926</v>
      </c>
      <c r="J207" s="75"/>
      <c r="K207" s="78"/>
      <c r="L207" s="76">
        <f t="shared" ref="L207:L258" si="4">J207*K207</f>
        <v>0</v>
      </c>
      <c r="M207" s="113"/>
      <c r="N207" s="113"/>
      <c r="O207" s="113"/>
      <c r="P207" s="112"/>
      <c r="Q207" s="112" t="s">
        <v>818</v>
      </c>
      <c r="R207" s="112" t="s">
        <v>924</v>
      </c>
      <c r="S207" s="148" t="s">
        <v>1158</v>
      </c>
      <c r="T207" s="112" t="s">
        <v>925</v>
      </c>
      <c r="U207" s="108"/>
      <c r="V207" s="107" t="s">
        <v>874</v>
      </c>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row>
    <row r="208" spans="1:176" ht="108" x14ac:dyDescent="0.2">
      <c r="A208" s="190" t="s">
        <v>148</v>
      </c>
      <c r="B208" s="190"/>
      <c r="C208" s="141" t="str">
        <f>"Response for " &amp; C45</f>
        <v>Response for Supplier Systems</v>
      </c>
      <c r="D208" s="132" t="s">
        <v>526</v>
      </c>
      <c r="E208" s="132" t="s">
        <v>99</v>
      </c>
      <c r="F208" s="2" t="s">
        <v>17</v>
      </c>
      <c r="G208" s="2" t="s">
        <v>18</v>
      </c>
      <c r="H208" s="2" t="s">
        <v>339</v>
      </c>
      <c r="I208" s="2" t="s">
        <v>365</v>
      </c>
      <c r="J208" s="224" t="s">
        <v>566</v>
      </c>
      <c r="K208" s="225"/>
      <c r="L208" s="74">
        <f>SUM(L209:L220)</f>
        <v>0</v>
      </c>
      <c r="M208" s="94" t="s">
        <v>602</v>
      </c>
      <c r="N208" s="94" t="s">
        <v>603</v>
      </c>
      <c r="O208" s="94" t="s">
        <v>604</v>
      </c>
      <c r="P208" s="95" t="s">
        <v>605</v>
      </c>
      <c r="Q208" s="95" t="s">
        <v>606</v>
      </c>
      <c r="R208" s="95" t="s">
        <v>607</v>
      </c>
      <c r="S208" s="96" t="s">
        <v>1086</v>
      </c>
      <c r="T208" s="97" t="s">
        <v>610</v>
      </c>
      <c r="U208" s="95" t="s">
        <v>613</v>
      </c>
      <c r="V208" s="95" t="s">
        <v>617</v>
      </c>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row>
    <row r="209" spans="1:176" ht="63" x14ac:dyDescent="0.2">
      <c r="A209" s="91" t="s">
        <v>212</v>
      </c>
      <c r="B209" s="18" t="s">
        <v>589</v>
      </c>
      <c r="C209" s="13"/>
      <c r="D209" s="135"/>
      <c r="E209" s="135"/>
      <c r="F209" s="11"/>
      <c r="G209" s="53" t="str">
        <f>IF(C209="","",IF(C209="Yes","Please describe your Cyber Security Incident response process, including when notification would be made to purchaser.","State plans to develop and implement a Cyber Ssecurity Incident response process."))</f>
        <v/>
      </c>
      <c r="H209" s="36">
        <v>25</v>
      </c>
      <c r="I209" s="36" t="s">
        <v>437</v>
      </c>
      <c r="J209" s="75"/>
      <c r="K209" s="78"/>
      <c r="L209" s="76">
        <f t="shared" si="4"/>
        <v>0</v>
      </c>
      <c r="M209" s="115" t="s">
        <v>927</v>
      </c>
      <c r="N209" s="113"/>
      <c r="O209" s="113"/>
      <c r="P209" s="114" t="s">
        <v>929</v>
      </c>
      <c r="Q209" s="114" t="s">
        <v>929</v>
      </c>
      <c r="R209" s="114" t="s">
        <v>792</v>
      </c>
      <c r="S209" s="148" t="s">
        <v>1168</v>
      </c>
      <c r="T209" s="114" t="s">
        <v>930</v>
      </c>
      <c r="U209" s="116" t="s">
        <v>931</v>
      </c>
      <c r="V209" s="117" t="s">
        <v>932</v>
      </c>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row>
    <row r="210" spans="1:176" ht="78.75" x14ac:dyDescent="0.2">
      <c r="A210" s="91" t="s">
        <v>213</v>
      </c>
      <c r="B210" s="18" t="s">
        <v>590</v>
      </c>
      <c r="C210" s="13"/>
      <c r="D210" s="135"/>
      <c r="E210" s="135"/>
      <c r="F210" s="11"/>
      <c r="G210" s="53"/>
      <c r="H210" s="36">
        <v>28</v>
      </c>
      <c r="I210" s="36" t="s">
        <v>438</v>
      </c>
      <c r="J210" s="75"/>
      <c r="K210" s="78"/>
      <c r="L210" s="76">
        <f t="shared" si="4"/>
        <v>0</v>
      </c>
      <c r="M210" s="115" t="s">
        <v>927</v>
      </c>
      <c r="N210" s="113"/>
      <c r="O210" s="113"/>
      <c r="P210" s="114" t="s">
        <v>929</v>
      </c>
      <c r="Q210" s="114" t="s">
        <v>929</v>
      </c>
      <c r="R210" s="112" t="s">
        <v>933</v>
      </c>
      <c r="S210" s="148" t="s">
        <v>1168</v>
      </c>
      <c r="T210" s="114" t="s">
        <v>1033</v>
      </c>
      <c r="U210" s="116" t="s">
        <v>934</v>
      </c>
      <c r="V210" s="117" t="s">
        <v>932</v>
      </c>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row>
    <row r="211" spans="1:176" ht="99.75" x14ac:dyDescent="0.2">
      <c r="A211" s="91" t="s">
        <v>214</v>
      </c>
      <c r="B211" s="18" t="s">
        <v>1219</v>
      </c>
      <c r="C211" s="13"/>
      <c r="D211" s="135"/>
      <c r="E211" s="135"/>
      <c r="F211" s="11"/>
      <c r="G211" s="53" t="s">
        <v>1231</v>
      </c>
      <c r="H211" s="36">
        <v>36</v>
      </c>
      <c r="I211" s="36" t="s">
        <v>439</v>
      </c>
      <c r="J211" s="75"/>
      <c r="K211" s="78"/>
      <c r="L211" s="76">
        <f t="shared" si="4"/>
        <v>0</v>
      </c>
      <c r="M211" s="113" t="s">
        <v>752</v>
      </c>
      <c r="N211" s="113"/>
      <c r="O211" s="113"/>
      <c r="P211" s="114" t="s">
        <v>929</v>
      </c>
      <c r="Q211" s="114" t="s">
        <v>929</v>
      </c>
      <c r="R211" s="112" t="s">
        <v>933</v>
      </c>
      <c r="S211" s="148" t="s">
        <v>1168</v>
      </c>
      <c r="T211" s="114" t="s">
        <v>935</v>
      </c>
      <c r="U211" s="116" t="s">
        <v>936</v>
      </c>
      <c r="V211" s="117" t="s">
        <v>937</v>
      </c>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row>
    <row r="212" spans="1:176" ht="60.75" customHeight="1" x14ac:dyDescent="0.2">
      <c r="A212" s="91" t="s">
        <v>288</v>
      </c>
      <c r="B212" s="18" t="s">
        <v>591</v>
      </c>
      <c r="C212" s="13"/>
      <c r="D212" s="135"/>
      <c r="E212" s="135"/>
      <c r="F212" s="11"/>
      <c r="G212" s="53"/>
      <c r="H212" s="36" t="s">
        <v>440</v>
      </c>
      <c r="I212" s="36" t="s">
        <v>441</v>
      </c>
      <c r="J212" s="75"/>
      <c r="K212" s="78"/>
      <c r="L212" s="76">
        <f t="shared" si="4"/>
        <v>0</v>
      </c>
      <c r="M212" s="113"/>
      <c r="N212" s="113"/>
      <c r="O212" s="113"/>
      <c r="P212" s="112" t="s">
        <v>938</v>
      </c>
      <c r="Q212" s="112" t="s">
        <v>938</v>
      </c>
      <c r="R212" s="112" t="s">
        <v>939</v>
      </c>
      <c r="S212" s="148" t="s">
        <v>1171</v>
      </c>
      <c r="T212" s="114" t="s">
        <v>940</v>
      </c>
      <c r="U212" s="108" t="s">
        <v>941</v>
      </c>
      <c r="V212" s="107" t="s">
        <v>756</v>
      </c>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row>
    <row r="213" spans="1:176" ht="42.75" x14ac:dyDescent="0.2">
      <c r="A213" s="91" t="s">
        <v>286</v>
      </c>
      <c r="B213" s="18" t="s">
        <v>557</v>
      </c>
      <c r="C213" s="13"/>
      <c r="D213" s="135"/>
      <c r="E213" s="135"/>
      <c r="F213" s="25"/>
      <c r="G213" s="53" t="str">
        <f>IF(C213="","",IF(C213="Yes","Please describe this process.","State plans to develop and implement such a process."))</f>
        <v/>
      </c>
      <c r="H213" s="36"/>
      <c r="I213" s="36" t="s">
        <v>442</v>
      </c>
      <c r="J213" s="75"/>
      <c r="K213" s="78"/>
      <c r="L213" s="76">
        <f t="shared" si="4"/>
        <v>0</v>
      </c>
      <c r="M213" s="113"/>
      <c r="N213" s="113"/>
      <c r="O213" s="113"/>
      <c r="P213" s="112"/>
      <c r="Q213" s="112"/>
      <c r="R213" s="112"/>
      <c r="S213" s="112"/>
      <c r="T213" s="112"/>
      <c r="U213" s="108"/>
      <c r="V213" s="107"/>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row>
    <row r="214" spans="1:176" ht="42.75" x14ac:dyDescent="0.2">
      <c r="A214" s="91" t="s">
        <v>287</v>
      </c>
      <c r="B214" s="18" t="s">
        <v>335</v>
      </c>
      <c r="C214" s="13"/>
      <c r="D214" s="135"/>
      <c r="E214" s="135"/>
      <c r="F214" s="25"/>
      <c r="G214" s="53" t="s">
        <v>443</v>
      </c>
      <c r="H214" s="36">
        <v>33</v>
      </c>
      <c r="I214" s="36" t="s">
        <v>444</v>
      </c>
      <c r="J214" s="75"/>
      <c r="K214" s="78"/>
      <c r="L214" s="76">
        <f t="shared" si="4"/>
        <v>0</v>
      </c>
      <c r="M214" s="113"/>
      <c r="N214" s="113"/>
      <c r="O214" s="113"/>
      <c r="P214" s="112" t="s">
        <v>942</v>
      </c>
      <c r="Q214" s="112" t="s">
        <v>942</v>
      </c>
      <c r="R214" s="112" t="s">
        <v>943</v>
      </c>
      <c r="S214" s="143" t="s">
        <v>1175</v>
      </c>
      <c r="T214" s="112" t="s">
        <v>944</v>
      </c>
      <c r="U214" s="108" t="s">
        <v>945</v>
      </c>
      <c r="V214" s="107" t="s">
        <v>756</v>
      </c>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row>
    <row r="215" spans="1:176" ht="42.75" x14ac:dyDescent="0.2">
      <c r="A215" s="91" t="s">
        <v>289</v>
      </c>
      <c r="B215" s="18" t="s">
        <v>592</v>
      </c>
      <c r="C215" s="13"/>
      <c r="D215" s="135"/>
      <c r="E215" s="135"/>
      <c r="F215" s="25"/>
      <c r="G215" s="53" t="s">
        <v>445</v>
      </c>
      <c r="H215" s="36">
        <v>26</v>
      </c>
      <c r="I215" s="36" t="s">
        <v>446</v>
      </c>
      <c r="J215" s="75"/>
      <c r="K215" s="78"/>
      <c r="L215" s="76">
        <f t="shared" si="4"/>
        <v>0</v>
      </c>
      <c r="M215" s="113"/>
      <c r="N215" s="113"/>
      <c r="O215" s="113"/>
      <c r="P215" s="112" t="s">
        <v>946</v>
      </c>
      <c r="Q215" s="112" t="s">
        <v>946</v>
      </c>
      <c r="R215" s="112" t="s">
        <v>939</v>
      </c>
      <c r="S215" s="143" t="s">
        <v>1170</v>
      </c>
      <c r="T215" s="114" t="s">
        <v>947</v>
      </c>
      <c r="U215" s="108" t="s">
        <v>945</v>
      </c>
      <c r="V215" s="107" t="s">
        <v>756</v>
      </c>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row>
    <row r="216" spans="1:176" ht="31.5" x14ac:dyDescent="0.2">
      <c r="A216" s="91" t="s">
        <v>290</v>
      </c>
      <c r="B216" s="18" t="s">
        <v>593</v>
      </c>
      <c r="C216" s="13"/>
      <c r="D216" s="135"/>
      <c r="E216" s="135"/>
      <c r="F216" s="25"/>
      <c r="G216" s="53"/>
      <c r="H216" s="36">
        <v>32</v>
      </c>
      <c r="I216" s="36" t="s">
        <v>447</v>
      </c>
      <c r="J216" s="75"/>
      <c r="K216" s="78"/>
      <c r="L216" s="76">
        <f t="shared" si="4"/>
        <v>0</v>
      </c>
      <c r="M216" s="113"/>
      <c r="N216" s="113"/>
      <c r="O216" s="113"/>
      <c r="P216" s="112" t="s">
        <v>946</v>
      </c>
      <c r="Q216" s="112" t="s">
        <v>946</v>
      </c>
      <c r="R216" s="112"/>
      <c r="S216" s="143" t="s">
        <v>1170</v>
      </c>
      <c r="T216" s="112"/>
      <c r="U216" s="116" t="s">
        <v>948</v>
      </c>
      <c r="V216" s="117" t="s">
        <v>932</v>
      </c>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row>
    <row r="217" spans="1:176" ht="47.25" x14ac:dyDescent="0.2">
      <c r="A217" s="91" t="s">
        <v>291</v>
      </c>
      <c r="B217" s="18" t="s">
        <v>594</v>
      </c>
      <c r="C217" s="13"/>
      <c r="D217" s="135"/>
      <c r="E217" s="135"/>
      <c r="F217" s="25"/>
      <c r="G217" s="53"/>
      <c r="H217" s="36">
        <v>27</v>
      </c>
      <c r="I217" s="36" t="s">
        <v>448</v>
      </c>
      <c r="J217" s="75"/>
      <c r="K217" s="78"/>
      <c r="L217" s="76">
        <f t="shared" si="4"/>
        <v>0</v>
      </c>
      <c r="M217" s="113"/>
      <c r="N217" s="113"/>
      <c r="O217" s="113"/>
      <c r="P217" s="112" t="s">
        <v>946</v>
      </c>
      <c r="Q217" s="112" t="s">
        <v>946</v>
      </c>
      <c r="R217" s="112" t="s">
        <v>939</v>
      </c>
      <c r="S217" s="143" t="s">
        <v>1169</v>
      </c>
      <c r="T217" s="114" t="s">
        <v>949</v>
      </c>
      <c r="U217" s="116" t="s">
        <v>931</v>
      </c>
      <c r="V217" s="107" t="s">
        <v>794</v>
      </c>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row>
    <row r="218" spans="1:176" ht="78.75" x14ac:dyDescent="0.2">
      <c r="A218" s="91" t="s">
        <v>350</v>
      </c>
      <c r="B218" s="18" t="s">
        <v>595</v>
      </c>
      <c r="C218" s="13"/>
      <c r="D218" s="135"/>
      <c r="E218" s="135"/>
      <c r="F218" s="25"/>
      <c r="G218" s="53"/>
      <c r="H218" s="36">
        <v>29</v>
      </c>
      <c r="I218" s="36" t="s">
        <v>449</v>
      </c>
      <c r="J218" s="75"/>
      <c r="K218" s="78"/>
      <c r="L218" s="76">
        <f t="shared" si="4"/>
        <v>0</v>
      </c>
      <c r="M218" s="113" t="s">
        <v>928</v>
      </c>
      <c r="N218" s="113"/>
      <c r="O218" s="113"/>
      <c r="P218" s="114" t="s">
        <v>950</v>
      </c>
      <c r="Q218" s="114" t="s">
        <v>950</v>
      </c>
      <c r="R218" s="114" t="s">
        <v>792</v>
      </c>
      <c r="S218" s="148" t="s">
        <v>1176</v>
      </c>
      <c r="T218" s="114" t="s">
        <v>951</v>
      </c>
      <c r="U218" s="116" t="s">
        <v>931</v>
      </c>
      <c r="V218" s="117" t="s">
        <v>932</v>
      </c>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row>
    <row r="219" spans="1:176" s="58" customFormat="1" ht="47.25" x14ac:dyDescent="0.2">
      <c r="A219" s="90" t="s">
        <v>351</v>
      </c>
      <c r="B219" s="18" t="s">
        <v>546</v>
      </c>
      <c r="C219" s="13"/>
      <c r="D219" s="135"/>
      <c r="E219" s="135"/>
      <c r="F219" s="11"/>
      <c r="G219" s="18" t="str">
        <f>IF(C219="","",IF(C219="Yes","What type of system do you use (network-based, host-based, etc.)?","State plans to implement an intrustion detection/prevention system."))</f>
        <v/>
      </c>
      <c r="H219" s="36"/>
      <c r="I219" s="36"/>
      <c r="J219" s="75"/>
      <c r="K219" s="78"/>
      <c r="L219" s="76">
        <f t="shared" si="4"/>
        <v>0</v>
      </c>
      <c r="M219" s="113"/>
      <c r="N219" s="113"/>
      <c r="O219" s="113"/>
      <c r="P219" s="112" t="s">
        <v>952</v>
      </c>
      <c r="Q219" s="112" t="s">
        <v>952</v>
      </c>
      <c r="R219" s="112" t="s">
        <v>939</v>
      </c>
      <c r="S219" s="148" t="s">
        <v>1173</v>
      </c>
      <c r="T219" s="114" t="s">
        <v>953</v>
      </c>
      <c r="U219" s="108" t="s">
        <v>954</v>
      </c>
      <c r="V219" s="117" t="s">
        <v>955</v>
      </c>
    </row>
    <row r="220" spans="1:176" ht="31.5" x14ac:dyDescent="0.2">
      <c r="A220" s="91" t="s">
        <v>352</v>
      </c>
      <c r="B220" s="3" t="s">
        <v>149</v>
      </c>
      <c r="C220" s="13"/>
      <c r="D220" s="135"/>
      <c r="E220" s="135"/>
      <c r="F220" s="11"/>
      <c r="G220" s="53"/>
      <c r="H220" s="36"/>
      <c r="I220" s="36"/>
      <c r="J220" s="75"/>
      <c r="K220" s="78"/>
      <c r="L220" s="76">
        <f t="shared" si="4"/>
        <v>0</v>
      </c>
      <c r="M220" s="113"/>
      <c r="N220" s="113"/>
      <c r="O220" s="113"/>
      <c r="P220" s="112" t="s">
        <v>857</v>
      </c>
      <c r="Q220" s="112" t="s">
        <v>857</v>
      </c>
      <c r="R220" s="112" t="s">
        <v>815</v>
      </c>
      <c r="S220" s="148" t="s">
        <v>1166</v>
      </c>
      <c r="T220" s="112" t="s">
        <v>956</v>
      </c>
      <c r="U220" s="108" t="s">
        <v>957</v>
      </c>
      <c r="V220" s="107" t="s">
        <v>958</v>
      </c>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row>
    <row r="221" spans="1:176" ht="108" x14ac:dyDescent="0.2">
      <c r="A221" s="190" t="s">
        <v>150</v>
      </c>
      <c r="B221" s="190"/>
      <c r="C221" s="141" t="str">
        <f>"Response for " &amp; C45</f>
        <v>Response for Supplier Systems</v>
      </c>
      <c r="D221" s="132" t="s">
        <v>526</v>
      </c>
      <c r="E221" s="132" t="s">
        <v>99</v>
      </c>
      <c r="F221" s="2" t="s">
        <v>17</v>
      </c>
      <c r="G221" s="2" t="s">
        <v>18</v>
      </c>
      <c r="H221" s="2" t="s">
        <v>339</v>
      </c>
      <c r="I221" s="2" t="s">
        <v>365</v>
      </c>
      <c r="J221" s="224" t="s">
        <v>566</v>
      </c>
      <c r="K221" s="225"/>
      <c r="L221" s="74">
        <f>SUM(L222:L231)</f>
        <v>0</v>
      </c>
      <c r="M221" s="94" t="s">
        <v>602</v>
      </c>
      <c r="N221" s="94" t="s">
        <v>603</v>
      </c>
      <c r="O221" s="94" t="s">
        <v>604</v>
      </c>
      <c r="P221" s="95" t="s">
        <v>605</v>
      </c>
      <c r="Q221" s="95" t="s">
        <v>606</v>
      </c>
      <c r="R221" s="95" t="s">
        <v>607</v>
      </c>
      <c r="S221" s="96" t="s">
        <v>1086</v>
      </c>
      <c r="T221" s="97" t="s">
        <v>610</v>
      </c>
      <c r="U221" s="95" t="s">
        <v>613</v>
      </c>
      <c r="V221" s="95" t="s">
        <v>617</v>
      </c>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row>
    <row r="222" spans="1:176" ht="18" x14ac:dyDescent="0.2">
      <c r="A222" s="91" t="s">
        <v>215</v>
      </c>
      <c r="B222" s="3" t="s">
        <v>1220</v>
      </c>
      <c r="C222" s="13"/>
      <c r="D222" s="135"/>
      <c r="E222" s="135"/>
      <c r="F222" s="11"/>
      <c r="G222" s="53" t="s">
        <v>151</v>
      </c>
      <c r="H222" s="37"/>
      <c r="I222" s="37"/>
      <c r="J222" s="75"/>
      <c r="K222" s="78"/>
      <c r="L222" s="76">
        <f t="shared" si="4"/>
        <v>0</v>
      </c>
      <c r="M222" s="113"/>
      <c r="N222" s="113"/>
      <c r="O222" s="113"/>
      <c r="P222" s="112"/>
      <c r="Q222" s="112"/>
      <c r="R222" s="112"/>
      <c r="S222" s="112"/>
      <c r="T222" s="112"/>
      <c r="U222" s="108"/>
      <c r="V222" s="107"/>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row>
    <row r="223" spans="1:176" ht="57" x14ac:dyDescent="0.2">
      <c r="A223" s="91" t="s">
        <v>216</v>
      </c>
      <c r="B223" s="3" t="s">
        <v>73</v>
      </c>
      <c r="C223" s="49"/>
      <c r="D223" s="135"/>
      <c r="E223" s="135"/>
      <c r="F223" s="11"/>
      <c r="G223" s="53" t="s">
        <v>533</v>
      </c>
      <c r="H223" s="37"/>
      <c r="I223" s="37"/>
      <c r="J223" s="75"/>
      <c r="K223" s="78"/>
      <c r="L223" s="76">
        <f t="shared" si="4"/>
        <v>0</v>
      </c>
      <c r="M223" s="113"/>
      <c r="N223" s="113"/>
      <c r="O223" s="113"/>
      <c r="P223" s="112"/>
      <c r="Q223" s="112"/>
      <c r="R223" s="112"/>
      <c r="S223" s="112"/>
      <c r="T223" s="112"/>
      <c r="U223" s="108"/>
      <c r="V223" s="107"/>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row>
    <row r="224" spans="1:176" ht="18" x14ac:dyDescent="0.2">
      <c r="A224" s="91" t="s">
        <v>217</v>
      </c>
      <c r="B224" s="3" t="s">
        <v>97</v>
      </c>
      <c r="C224" s="13"/>
      <c r="D224" s="135"/>
      <c r="E224" s="135"/>
      <c r="F224" s="12"/>
      <c r="G224" s="53" t="str">
        <f>IF(C224="","",IF(C224="Yes","State the application title as listed within the trusted source.","Decribe how the application is distributed. Also, state any plans to publish the app to a trusted source."))</f>
        <v/>
      </c>
      <c r="H224" s="37"/>
      <c r="I224" s="37"/>
      <c r="J224" s="75"/>
      <c r="K224" s="78"/>
      <c r="L224" s="76">
        <f t="shared" si="4"/>
        <v>0</v>
      </c>
      <c r="M224" s="113"/>
      <c r="N224" s="113"/>
      <c r="O224" s="113"/>
      <c r="P224" s="112"/>
      <c r="Q224" s="112"/>
      <c r="R224" s="112"/>
      <c r="S224" s="112"/>
      <c r="T224" s="112"/>
      <c r="U224" s="108"/>
      <c r="V224" s="107"/>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row>
    <row r="225" spans="1:176" ht="28.5" x14ac:dyDescent="0.2">
      <c r="A225" s="91" t="s">
        <v>218</v>
      </c>
      <c r="B225" s="3" t="s">
        <v>152</v>
      </c>
      <c r="C225" s="13"/>
      <c r="D225" s="135"/>
      <c r="E225" s="135"/>
      <c r="F225" s="12"/>
      <c r="G225" s="53" t="str">
        <f>IF(C225="","",IF(C225="Yes","Provide a detailed summary for your response.",""))</f>
        <v/>
      </c>
      <c r="H225" s="37"/>
      <c r="I225" s="37"/>
      <c r="J225" s="75"/>
      <c r="K225" s="78"/>
      <c r="L225" s="76">
        <f t="shared" si="4"/>
        <v>0</v>
      </c>
      <c r="M225" s="113"/>
      <c r="N225" s="113"/>
      <c r="O225" s="113"/>
      <c r="P225" s="112"/>
      <c r="Q225" s="112"/>
      <c r="R225" s="112"/>
      <c r="S225" s="112"/>
      <c r="T225" s="112"/>
      <c r="U225" s="108"/>
      <c r="V225" s="107"/>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row>
    <row r="226" spans="1:176" ht="18" x14ac:dyDescent="0.2">
      <c r="A226" s="91" t="s">
        <v>219</v>
      </c>
      <c r="B226" s="3" t="s">
        <v>118</v>
      </c>
      <c r="C226" s="13"/>
      <c r="D226" s="135"/>
      <c r="E226" s="135"/>
      <c r="F226" s="12"/>
      <c r="G226" s="53" t="str">
        <f>IF(C226="","",IF(C226="Yes","Provide a detailed description of what data will be stored and in which location(s), as well as why storing this data in this/these location(s) is necessary.",""))</f>
        <v/>
      </c>
      <c r="H226" s="37"/>
      <c r="I226" s="37"/>
      <c r="J226" s="75"/>
      <c r="K226" s="78"/>
      <c r="L226" s="76">
        <f t="shared" si="4"/>
        <v>0</v>
      </c>
      <c r="M226" s="113"/>
      <c r="N226" s="113"/>
      <c r="O226" s="113"/>
      <c r="P226" s="112"/>
      <c r="Q226" s="112"/>
      <c r="R226" s="112"/>
      <c r="S226" s="112"/>
      <c r="T226" s="112"/>
      <c r="U226" s="108"/>
      <c r="V226" s="107"/>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row>
    <row r="227" spans="1:176" ht="18" x14ac:dyDescent="0.2">
      <c r="A227" s="91" t="s">
        <v>220</v>
      </c>
      <c r="B227" s="3" t="s">
        <v>503</v>
      </c>
      <c r="C227" s="13"/>
      <c r="D227" s="135"/>
      <c r="E227" s="135"/>
      <c r="F227" s="12"/>
      <c r="G227" s="53" t="str">
        <f>IF(C227="","",IF(C227="Yes","Summarize your MDM capabilities.","State any plans to implement a MDM platform in your environment."))</f>
        <v/>
      </c>
      <c r="H227" s="37"/>
      <c r="I227" s="37"/>
      <c r="J227" s="75"/>
      <c r="K227" s="78"/>
      <c r="L227" s="76">
        <f t="shared" si="4"/>
        <v>0</v>
      </c>
      <c r="M227" s="113"/>
      <c r="N227" s="113"/>
      <c r="O227" s="113"/>
      <c r="P227" s="112"/>
      <c r="Q227" s="112"/>
      <c r="R227" s="112"/>
      <c r="S227" s="112"/>
      <c r="T227" s="112"/>
      <c r="U227" s="108"/>
      <c r="V227" s="10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row>
    <row r="228" spans="1:176" ht="18" x14ac:dyDescent="0.2">
      <c r="A228" s="91" t="s">
        <v>221</v>
      </c>
      <c r="B228" s="3" t="s">
        <v>119</v>
      </c>
      <c r="C228" s="13"/>
      <c r="D228" s="135"/>
      <c r="E228" s="135"/>
      <c r="F228" s="12"/>
      <c r="G228" s="53" t="str">
        <f>IF(C228="","",IF(C228="Yes","State any capabilities and plans to detect and prevent the use of jailbroken devices.","Please provide an explanation on how this is enforced."))</f>
        <v/>
      </c>
      <c r="H228" s="37"/>
      <c r="I228" s="37"/>
      <c r="J228" s="75"/>
      <c r="K228" s="78"/>
      <c r="L228" s="76">
        <f t="shared" si="4"/>
        <v>0</v>
      </c>
      <c r="M228" s="113"/>
      <c r="N228" s="113"/>
      <c r="O228" s="113"/>
      <c r="P228" s="112" t="s">
        <v>871</v>
      </c>
      <c r="Q228" s="112" t="s">
        <v>871</v>
      </c>
      <c r="R228" s="112" t="s">
        <v>959</v>
      </c>
      <c r="S228" s="112"/>
      <c r="T228" s="112" t="s">
        <v>925</v>
      </c>
      <c r="U228" s="108" t="s">
        <v>960</v>
      </c>
      <c r="V228" s="107" t="s">
        <v>692</v>
      </c>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row>
    <row r="229" spans="1:176" ht="126" x14ac:dyDescent="0.2">
      <c r="A229" s="91" t="s">
        <v>222</v>
      </c>
      <c r="B229" s="3" t="s">
        <v>1221</v>
      </c>
      <c r="C229" s="13"/>
      <c r="D229" s="135"/>
      <c r="E229" s="135"/>
      <c r="F229" s="12"/>
      <c r="G229" s="53" t="str">
        <f>IF(C229="","",IF(C229="Yes","Describe how data is encrypted in transport. (i.e. from system to app)","Summarize why data is not encrypted in transport. (i.e. from system to app)"))</f>
        <v/>
      </c>
      <c r="H229" s="37"/>
      <c r="I229" s="37"/>
      <c r="J229" s="75"/>
      <c r="K229" s="78"/>
      <c r="L229" s="76">
        <f t="shared" si="4"/>
        <v>0</v>
      </c>
      <c r="M229" s="113"/>
      <c r="N229" s="113" t="s">
        <v>1061</v>
      </c>
      <c r="O229" s="113"/>
      <c r="P229" s="112" t="s">
        <v>624</v>
      </c>
      <c r="Q229" s="112" t="s">
        <v>624</v>
      </c>
      <c r="R229" s="114" t="s">
        <v>889</v>
      </c>
      <c r="S229" s="143" t="s">
        <v>1147</v>
      </c>
      <c r="T229" s="114" t="s">
        <v>890</v>
      </c>
      <c r="U229" s="108" t="s">
        <v>730</v>
      </c>
      <c r="V229" s="117" t="s">
        <v>731</v>
      </c>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row>
    <row r="230" spans="1:176" ht="126" x14ac:dyDescent="0.2">
      <c r="A230" s="91" t="s">
        <v>223</v>
      </c>
      <c r="B230" s="3" t="s">
        <v>1222</v>
      </c>
      <c r="C230" s="13"/>
      <c r="D230" s="135"/>
      <c r="E230" s="135"/>
      <c r="F230" s="12"/>
      <c r="G230" s="53" t="str">
        <f>IF(C230="","",IF(C230="Yes","Describe how data is encrypted in storage (i.e. at-rest within the app).","Summarize why data is not encrypted in storage (i.e. at-rest within the app)"))</f>
        <v/>
      </c>
      <c r="H230" s="37"/>
      <c r="I230" s="37"/>
      <c r="J230" s="75"/>
      <c r="K230" s="78"/>
      <c r="L230" s="76">
        <f t="shared" si="4"/>
        <v>0</v>
      </c>
      <c r="M230" s="113"/>
      <c r="N230" s="113"/>
      <c r="O230" s="113" t="s">
        <v>1069</v>
      </c>
      <c r="P230" s="112" t="s">
        <v>726</v>
      </c>
      <c r="Q230" s="112" t="s">
        <v>726</v>
      </c>
      <c r="R230" s="112" t="s">
        <v>884</v>
      </c>
      <c r="S230" s="143" t="s">
        <v>1146</v>
      </c>
      <c r="T230" s="114" t="s">
        <v>961</v>
      </c>
      <c r="U230" s="108" t="s">
        <v>730</v>
      </c>
      <c r="V230" s="107" t="s">
        <v>692</v>
      </c>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row>
    <row r="231" spans="1:176" ht="31.5" x14ac:dyDescent="0.2">
      <c r="A231" s="91" t="s">
        <v>224</v>
      </c>
      <c r="B231" s="3" t="s">
        <v>153</v>
      </c>
      <c r="C231" s="13"/>
      <c r="D231" s="135"/>
      <c r="E231" s="135"/>
      <c r="F231" s="12"/>
      <c r="G231" s="53" t="str">
        <f>IF(C231="","",IF(C231="Yes","Please provide additional information on the methodology used for the vulnerability testing and indicate if the testing was internal or external.","Please state any plans to perform vulnerability testing on the application."))</f>
        <v/>
      </c>
      <c r="H231" s="37"/>
      <c r="I231" s="37"/>
      <c r="J231" s="75"/>
      <c r="K231" s="78"/>
      <c r="L231" s="76">
        <f t="shared" si="4"/>
        <v>0</v>
      </c>
      <c r="M231" s="113"/>
      <c r="N231" s="113"/>
      <c r="O231" s="113"/>
      <c r="P231" s="112"/>
      <c r="Q231" s="112" t="s">
        <v>962</v>
      </c>
      <c r="R231" s="112"/>
      <c r="S231" s="143" t="s">
        <v>1162</v>
      </c>
      <c r="T231" s="114" t="s">
        <v>963</v>
      </c>
      <c r="U231" s="108"/>
      <c r="V231" s="107"/>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row>
    <row r="232" spans="1:176" ht="108" x14ac:dyDescent="0.2">
      <c r="A232" s="190" t="s">
        <v>154</v>
      </c>
      <c r="B232" s="190"/>
      <c r="C232" s="141" t="str">
        <f>"Response for " &amp; C45</f>
        <v>Response for Supplier Systems</v>
      </c>
      <c r="D232" s="132" t="s">
        <v>526</v>
      </c>
      <c r="E232" s="132" t="s">
        <v>99</v>
      </c>
      <c r="F232" s="2" t="s">
        <v>17</v>
      </c>
      <c r="G232" s="2" t="s">
        <v>18</v>
      </c>
      <c r="H232" s="2" t="s">
        <v>339</v>
      </c>
      <c r="I232" s="2" t="s">
        <v>365</v>
      </c>
      <c r="J232" s="224" t="s">
        <v>566</v>
      </c>
      <c r="K232" s="225"/>
      <c r="L232" s="74">
        <f>SUM(L233:L258)</f>
        <v>0</v>
      </c>
      <c r="M232" s="94" t="s">
        <v>602</v>
      </c>
      <c r="N232" s="94" t="s">
        <v>603</v>
      </c>
      <c r="O232" s="94" t="s">
        <v>604</v>
      </c>
      <c r="P232" s="95" t="s">
        <v>605</v>
      </c>
      <c r="Q232" s="95" t="s">
        <v>606</v>
      </c>
      <c r="R232" s="95" t="s">
        <v>607</v>
      </c>
      <c r="S232" s="96" t="s">
        <v>1086</v>
      </c>
      <c r="T232" s="97" t="s">
        <v>610</v>
      </c>
      <c r="U232" s="95" t="s">
        <v>613</v>
      </c>
      <c r="V232" s="95" t="s">
        <v>617</v>
      </c>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row>
    <row r="233" spans="1:176" ht="63" x14ac:dyDescent="0.2">
      <c r="A233" s="91" t="s">
        <v>225</v>
      </c>
      <c r="B233" s="3" t="s">
        <v>74</v>
      </c>
      <c r="C233" s="13"/>
      <c r="D233" s="135"/>
      <c r="E233" s="135"/>
      <c r="F233" s="12"/>
      <c r="G233" s="54" t="str">
        <f>IF(C233="","",IF(C233="Yes","Provide a copy of your physical security controls and policies along with this document (link or attached).","Describe your intent to implement physical security controls and policies."))</f>
        <v/>
      </c>
      <c r="H233" s="36"/>
      <c r="I233" s="36"/>
      <c r="J233" s="75"/>
      <c r="K233" s="78"/>
      <c r="L233" s="76">
        <f t="shared" si="4"/>
        <v>0</v>
      </c>
      <c r="M233" s="113"/>
      <c r="N233" s="113"/>
      <c r="O233" s="113"/>
      <c r="P233" s="112" t="s">
        <v>837</v>
      </c>
      <c r="Q233" s="112" t="s">
        <v>837</v>
      </c>
      <c r="R233" s="114" t="s">
        <v>965</v>
      </c>
      <c r="S233" s="143" t="s">
        <v>1123</v>
      </c>
      <c r="T233" s="114" t="s">
        <v>966</v>
      </c>
      <c r="U233" s="116" t="s">
        <v>967</v>
      </c>
      <c r="V233" s="107" t="s">
        <v>631</v>
      </c>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row>
    <row r="234" spans="1:176" ht="18" x14ac:dyDescent="0.2">
      <c r="A234" s="91" t="s">
        <v>226</v>
      </c>
      <c r="B234" s="18" t="s">
        <v>120</v>
      </c>
      <c r="C234" s="13"/>
      <c r="D234" s="135"/>
      <c r="E234" s="135"/>
      <c r="F234" s="19"/>
      <c r="G234" s="53" t="str">
        <f>IF(C234="","",IF(C234="Yes","List open source code or freeware/shareware utilized, including frameworks. Describe how you verify integrity and maintain this code, including monitoring for vulnerabilities and deploying patches.",""))</f>
        <v/>
      </c>
      <c r="H234" s="36"/>
      <c r="I234" s="36"/>
      <c r="J234" s="75"/>
      <c r="K234" s="78"/>
      <c r="L234" s="76">
        <f t="shared" si="4"/>
        <v>0</v>
      </c>
      <c r="M234" s="113"/>
      <c r="N234" s="113"/>
      <c r="O234" s="113"/>
      <c r="P234" s="112" t="s">
        <v>968</v>
      </c>
      <c r="Q234" s="112" t="s">
        <v>968</v>
      </c>
      <c r="R234" s="112"/>
      <c r="S234" s="112"/>
      <c r="T234" s="112"/>
      <c r="U234" s="108"/>
      <c r="V234" s="107"/>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row>
    <row r="235" spans="1:176" ht="31.5" x14ac:dyDescent="0.2">
      <c r="A235" s="91" t="s">
        <v>227</v>
      </c>
      <c r="B235" s="18" t="s">
        <v>268</v>
      </c>
      <c r="C235" s="13"/>
      <c r="D235" s="135"/>
      <c r="E235" s="135"/>
      <c r="F235" s="19"/>
      <c r="G235" s="53" t="str">
        <f>IF(C235="","",IF(C235="Yes","Please describe in appropriate detail.","Please describe how you ensure security of products during electronic transport."))</f>
        <v/>
      </c>
      <c r="H235" s="36">
        <v>60</v>
      </c>
      <c r="I235" s="36" t="s">
        <v>450</v>
      </c>
      <c r="J235" s="75"/>
      <c r="K235" s="78"/>
      <c r="L235" s="76">
        <f t="shared" si="4"/>
        <v>0</v>
      </c>
      <c r="M235" s="113" t="s">
        <v>620</v>
      </c>
      <c r="N235" s="113"/>
      <c r="O235" s="113"/>
      <c r="P235" s="114" t="s">
        <v>969</v>
      </c>
      <c r="Q235" s="114" t="s">
        <v>969</v>
      </c>
      <c r="R235" s="112"/>
      <c r="S235" s="112"/>
      <c r="T235" s="112"/>
      <c r="U235" s="108"/>
      <c r="V235" s="107" t="s">
        <v>874</v>
      </c>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row>
    <row r="236" spans="1:176" ht="63" x14ac:dyDescent="0.2">
      <c r="A236" s="91" t="s">
        <v>228</v>
      </c>
      <c r="B236" s="18" t="s">
        <v>558</v>
      </c>
      <c r="C236" s="13"/>
      <c r="D236" s="135"/>
      <c r="E236" s="135"/>
      <c r="F236" s="19"/>
      <c r="G236" s="53" t="str">
        <f>IF(C236="","",IF(C236="Yes","Please describe how this is accomplished.",""))</f>
        <v/>
      </c>
      <c r="H236" s="36"/>
      <c r="I236" s="36" t="s">
        <v>451</v>
      </c>
      <c r="J236" s="75"/>
      <c r="K236" s="78"/>
      <c r="L236" s="76">
        <f t="shared" si="4"/>
        <v>0</v>
      </c>
      <c r="M236" s="113" t="s">
        <v>620</v>
      </c>
      <c r="N236" s="113"/>
      <c r="O236" s="113" t="s">
        <v>1064</v>
      </c>
      <c r="P236" s="112" t="s">
        <v>783</v>
      </c>
      <c r="Q236" s="112" t="s">
        <v>783</v>
      </c>
      <c r="R236" s="112"/>
      <c r="S236" s="143" t="s">
        <v>1131</v>
      </c>
      <c r="T236" s="114" t="s">
        <v>970</v>
      </c>
      <c r="U236" s="108"/>
      <c r="V236" s="107" t="s">
        <v>674</v>
      </c>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row>
    <row r="237" spans="1:176" ht="31.5" x14ac:dyDescent="0.2">
      <c r="A237" s="91" t="s">
        <v>229</v>
      </c>
      <c r="B237" s="18" t="s">
        <v>336</v>
      </c>
      <c r="C237" s="13"/>
      <c r="D237" s="135"/>
      <c r="E237" s="135"/>
      <c r="F237" s="19"/>
      <c r="G237" s="53"/>
      <c r="H237" s="36" t="s">
        <v>452</v>
      </c>
      <c r="I237" s="36" t="s">
        <v>453</v>
      </c>
      <c r="J237" s="75"/>
      <c r="K237" s="78"/>
      <c r="L237" s="76">
        <f t="shared" si="4"/>
        <v>0</v>
      </c>
      <c r="M237" s="113" t="s">
        <v>620</v>
      </c>
      <c r="N237" s="113"/>
      <c r="O237" s="113"/>
      <c r="P237" s="112" t="s">
        <v>971</v>
      </c>
      <c r="Q237" s="112" t="s">
        <v>971</v>
      </c>
      <c r="R237" s="112" t="s">
        <v>972</v>
      </c>
      <c r="S237" s="143" t="s">
        <v>1155</v>
      </c>
      <c r="T237" s="114" t="s">
        <v>973</v>
      </c>
      <c r="U237" s="116" t="s">
        <v>974</v>
      </c>
      <c r="V237" s="107" t="s">
        <v>975</v>
      </c>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row>
    <row r="238" spans="1:176" ht="110.25" x14ac:dyDescent="0.2">
      <c r="A238" s="91" t="s">
        <v>230</v>
      </c>
      <c r="B238" s="18" t="s">
        <v>504</v>
      </c>
      <c r="C238" s="13"/>
      <c r="D238" s="135"/>
      <c r="E238" s="135"/>
      <c r="F238" s="19"/>
      <c r="G238" s="53"/>
      <c r="H238" s="36">
        <v>51</v>
      </c>
      <c r="I238" s="36" t="s">
        <v>454</v>
      </c>
      <c r="J238" s="75"/>
      <c r="K238" s="78"/>
      <c r="L238" s="76">
        <f t="shared" si="4"/>
        <v>0</v>
      </c>
      <c r="M238" s="113" t="s">
        <v>964</v>
      </c>
      <c r="N238" s="113"/>
      <c r="O238" s="113"/>
      <c r="P238" s="114" t="s">
        <v>976</v>
      </c>
      <c r="Q238" s="114" t="s">
        <v>976</v>
      </c>
      <c r="R238" s="112" t="s">
        <v>815</v>
      </c>
      <c r="S238" s="148" t="s">
        <v>1152</v>
      </c>
      <c r="T238" s="112" t="s">
        <v>977</v>
      </c>
      <c r="U238" s="116" t="s">
        <v>978</v>
      </c>
      <c r="V238" s="117" t="s">
        <v>979</v>
      </c>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row>
    <row r="239" spans="1:176" ht="31.5" x14ac:dyDescent="0.2">
      <c r="A239" s="91" t="s">
        <v>231</v>
      </c>
      <c r="B239" s="18" t="s">
        <v>1223</v>
      </c>
      <c r="C239" s="13"/>
      <c r="D239" s="135"/>
      <c r="E239" s="135"/>
      <c r="F239" s="19"/>
      <c r="G239" s="53"/>
      <c r="H239" s="36">
        <v>20</v>
      </c>
      <c r="I239" s="36"/>
      <c r="J239" s="75"/>
      <c r="K239" s="78"/>
      <c r="L239" s="76">
        <f t="shared" si="4"/>
        <v>0</v>
      </c>
      <c r="M239" s="113"/>
      <c r="N239" s="113"/>
      <c r="O239" s="113"/>
      <c r="P239" s="114" t="s">
        <v>980</v>
      </c>
      <c r="Q239" s="114" t="s">
        <v>980</v>
      </c>
      <c r="R239" s="112"/>
      <c r="S239" s="112"/>
      <c r="T239" s="112"/>
      <c r="U239" s="108"/>
      <c r="V239" s="117" t="s">
        <v>979</v>
      </c>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row>
    <row r="240" spans="1:176" ht="47.25" x14ac:dyDescent="0.2">
      <c r="A240" s="91" t="s">
        <v>232</v>
      </c>
      <c r="B240" s="18" t="s">
        <v>1224</v>
      </c>
      <c r="C240" s="13"/>
      <c r="D240" s="135"/>
      <c r="E240" s="135"/>
      <c r="F240" s="19"/>
      <c r="G240" s="53"/>
      <c r="H240" s="36">
        <v>37</v>
      </c>
      <c r="I240" s="36" t="s">
        <v>455</v>
      </c>
      <c r="J240" s="75"/>
      <c r="K240" s="78"/>
      <c r="L240" s="76">
        <f t="shared" si="4"/>
        <v>0</v>
      </c>
      <c r="M240" s="113"/>
      <c r="N240" s="113"/>
      <c r="O240" s="113"/>
      <c r="P240" s="112" t="s">
        <v>981</v>
      </c>
      <c r="Q240" s="112" t="s">
        <v>981</v>
      </c>
      <c r="R240" s="112" t="s">
        <v>912</v>
      </c>
      <c r="S240" s="148" t="s">
        <v>1174</v>
      </c>
      <c r="T240" s="114" t="s">
        <v>982</v>
      </c>
      <c r="U240" s="116" t="s">
        <v>983</v>
      </c>
      <c r="V240" s="107"/>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row>
    <row r="241" spans="1:176" ht="110.25" x14ac:dyDescent="0.2">
      <c r="A241" s="91" t="s">
        <v>233</v>
      </c>
      <c r="B241" s="18" t="s">
        <v>1225</v>
      </c>
      <c r="C241" s="13"/>
      <c r="D241" s="135"/>
      <c r="E241" s="135"/>
      <c r="F241" s="19"/>
      <c r="G241" s="53" t="str">
        <f>IF(C241="","",IF(C241="Yes","Please describe this program.","Please describe how this is accomplished in absence of formal process or program."))</f>
        <v/>
      </c>
      <c r="H241" s="36">
        <v>49</v>
      </c>
      <c r="I241" s="36" t="s">
        <v>456</v>
      </c>
      <c r="J241" s="75"/>
      <c r="K241" s="78"/>
      <c r="L241" s="76">
        <f t="shared" si="4"/>
        <v>0</v>
      </c>
      <c r="M241" s="113" t="s">
        <v>620</v>
      </c>
      <c r="N241" s="113"/>
      <c r="O241" s="113" t="s">
        <v>1064</v>
      </c>
      <c r="P241" s="114" t="s">
        <v>984</v>
      </c>
      <c r="Q241" s="114" t="s">
        <v>984</v>
      </c>
      <c r="R241" s="114" t="s">
        <v>985</v>
      </c>
      <c r="S241" s="148" t="s">
        <v>1154</v>
      </c>
      <c r="T241" s="114" t="s">
        <v>986</v>
      </c>
      <c r="U241" s="116" t="s">
        <v>987</v>
      </c>
      <c r="V241" s="117" t="s">
        <v>988</v>
      </c>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row>
    <row r="242" spans="1:176" ht="47.25" x14ac:dyDescent="0.2">
      <c r="A242" s="91" t="s">
        <v>234</v>
      </c>
      <c r="B242" s="18" t="s">
        <v>306</v>
      </c>
      <c r="C242" s="13"/>
      <c r="D242" s="135"/>
      <c r="E242" s="135"/>
      <c r="F242" s="19"/>
      <c r="G242" s="53"/>
      <c r="H242" s="36">
        <v>53</v>
      </c>
      <c r="I242" s="36" t="s">
        <v>457</v>
      </c>
      <c r="J242" s="75"/>
      <c r="K242" s="78"/>
      <c r="L242" s="76">
        <f t="shared" si="4"/>
        <v>0</v>
      </c>
      <c r="M242" s="113" t="s">
        <v>620</v>
      </c>
      <c r="N242" s="113"/>
      <c r="O242" s="113"/>
      <c r="P242" s="112" t="s">
        <v>783</v>
      </c>
      <c r="Q242" s="112" t="s">
        <v>783</v>
      </c>
      <c r="R242" s="112"/>
      <c r="S242" s="143" t="s">
        <v>1153</v>
      </c>
      <c r="T242" s="114" t="s">
        <v>989</v>
      </c>
      <c r="U242" s="116" t="s">
        <v>990</v>
      </c>
      <c r="V242" s="107" t="s">
        <v>674</v>
      </c>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row>
    <row r="243" spans="1:176" ht="28.5" x14ac:dyDescent="0.2">
      <c r="A243" s="91" t="s">
        <v>235</v>
      </c>
      <c r="B243" s="18" t="s">
        <v>505</v>
      </c>
      <c r="C243" s="13"/>
      <c r="D243" s="135"/>
      <c r="E243" s="135"/>
      <c r="F243" s="19"/>
      <c r="G243" s="53"/>
      <c r="H243" s="36"/>
      <c r="I243" s="36" t="s">
        <v>458</v>
      </c>
      <c r="J243" s="75"/>
      <c r="K243" s="78"/>
      <c r="L243" s="76">
        <f t="shared" si="4"/>
        <v>0</v>
      </c>
      <c r="M243" s="113"/>
      <c r="N243" s="113"/>
      <c r="O243" s="113"/>
      <c r="P243" s="112"/>
      <c r="Q243" s="112"/>
      <c r="R243" s="112"/>
      <c r="S243" s="112"/>
      <c r="T243" s="112"/>
      <c r="U243" s="108"/>
      <c r="V243" s="107"/>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row>
    <row r="244" spans="1:176" ht="78.75" x14ac:dyDescent="0.2">
      <c r="A244" s="91" t="s">
        <v>236</v>
      </c>
      <c r="B244" s="18" t="s">
        <v>506</v>
      </c>
      <c r="C244" s="13"/>
      <c r="D244" s="135"/>
      <c r="E244" s="135"/>
      <c r="F244" s="19"/>
      <c r="G244" s="53"/>
      <c r="H244" s="36"/>
      <c r="I244" s="36" t="s">
        <v>459</v>
      </c>
      <c r="J244" s="75"/>
      <c r="K244" s="78"/>
      <c r="L244" s="76">
        <f t="shared" si="4"/>
        <v>0</v>
      </c>
      <c r="M244" s="113"/>
      <c r="N244" s="115" t="s">
        <v>1063</v>
      </c>
      <c r="O244" s="115" t="s">
        <v>1076</v>
      </c>
      <c r="P244" s="114" t="s">
        <v>991</v>
      </c>
      <c r="Q244" s="114" t="s">
        <v>991</v>
      </c>
      <c r="R244" s="114" t="s">
        <v>992</v>
      </c>
      <c r="S244" s="148" t="s">
        <v>1159</v>
      </c>
      <c r="T244" s="114" t="s">
        <v>993</v>
      </c>
      <c r="U244" s="116" t="s">
        <v>994</v>
      </c>
      <c r="V244" s="117" t="s">
        <v>995</v>
      </c>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row>
    <row r="245" spans="1:176" ht="47.25" x14ac:dyDescent="0.2">
      <c r="A245" s="90" t="s">
        <v>237</v>
      </c>
      <c r="B245" s="18" t="s">
        <v>1226</v>
      </c>
      <c r="C245" s="13"/>
      <c r="D245" s="135"/>
      <c r="E245" s="135"/>
      <c r="F245" s="19"/>
      <c r="G245" s="63" t="str">
        <f>IF(C245="","",IF(C245="Yes","Please describe these controls.",""))</f>
        <v/>
      </c>
      <c r="H245" s="36">
        <v>16</v>
      </c>
      <c r="I245" s="36" t="s">
        <v>410</v>
      </c>
      <c r="J245" s="75"/>
      <c r="K245" s="78"/>
      <c r="L245" s="76">
        <f t="shared" si="4"/>
        <v>0</v>
      </c>
      <c r="M245" s="113"/>
      <c r="N245" s="113"/>
      <c r="O245" s="115" t="s">
        <v>1077</v>
      </c>
      <c r="P245" s="114" t="s">
        <v>996</v>
      </c>
      <c r="Q245" s="114" t="s">
        <v>996</v>
      </c>
      <c r="R245" s="114" t="s">
        <v>997</v>
      </c>
      <c r="S245" s="143" t="s">
        <v>1138</v>
      </c>
      <c r="T245" s="114" t="s">
        <v>998</v>
      </c>
      <c r="U245" s="116" t="s">
        <v>999</v>
      </c>
      <c r="V245" s="107" t="s">
        <v>874</v>
      </c>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row>
    <row r="246" spans="1:176" ht="18" x14ac:dyDescent="0.2">
      <c r="A246" s="91" t="s">
        <v>238</v>
      </c>
      <c r="B246" s="18" t="s">
        <v>340</v>
      </c>
      <c r="C246" s="13"/>
      <c r="D246" s="135"/>
      <c r="E246" s="135"/>
      <c r="F246" s="19"/>
      <c r="G246" s="53"/>
      <c r="H246" s="36"/>
      <c r="I246" s="36"/>
      <c r="J246" s="75"/>
      <c r="K246" s="78"/>
      <c r="L246" s="76">
        <f t="shared" si="4"/>
        <v>0</v>
      </c>
      <c r="M246" s="113"/>
      <c r="N246" s="113"/>
      <c r="O246" s="113"/>
      <c r="P246" s="112" t="s">
        <v>700</v>
      </c>
      <c r="Q246" s="112" t="s">
        <v>700</v>
      </c>
      <c r="R246" s="112"/>
      <c r="S246" s="112"/>
      <c r="T246" s="112"/>
      <c r="U246" s="108" t="s">
        <v>745</v>
      </c>
      <c r="V246" s="107" t="s">
        <v>664</v>
      </c>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row>
    <row r="247" spans="1:176" ht="47.25" x14ac:dyDescent="0.2">
      <c r="A247" s="91" t="s">
        <v>247</v>
      </c>
      <c r="B247" s="18" t="s">
        <v>596</v>
      </c>
      <c r="C247" s="13"/>
      <c r="D247" s="135"/>
      <c r="E247" s="135"/>
      <c r="F247" s="19"/>
      <c r="G247" s="53" t="str">
        <f>IF(C247="","",IF(C247="Yes","Please describe how the antimalware is maintained and kept up-to-date.","Please describe any plans to install antimalware on all end nodes."))</f>
        <v/>
      </c>
      <c r="H247" s="36"/>
      <c r="I247" s="36"/>
      <c r="J247" s="75"/>
      <c r="K247" s="78"/>
      <c r="L247" s="76">
        <f t="shared" si="4"/>
        <v>0</v>
      </c>
      <c r="M247" s="113"/>
      <c r="N247" s="113"/>
      <c r="O247" s="115" t="s">
        <v>1078</v>
      </c>
      <c r="P247" s="112" t="s">
        <v>971</v>
      </c>
      <c r="Q247" s="112" t="s">
        <v>971</v>
      </c>
      <c r="R247" s="112" t="s">
        <v>1000</v>
      </c>
      <c r="S247" s="143" t="s">
        <v>1155</v>
      </c>
      <c r="T247" s="114" t="s">
        <v>1001</v>
      </c>
      <c r="U247" s="108" t="s">
        <v>1002</v>
      </c>
      <c r="V247" s="107" t="s">
        <v>975</v>
      </c>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row>
    <row r="248" spans="1:176" ht="18" x14ac:dyDescent="0.2">
      <c r="A248" s="91" t="s">
        <v>267</v>
      </c>
      <c r="B248" s="3" t="s">
        <v>155</v>
      </c>
      <c r="C248" s="13"/>
      <c r="D248" s="135"/>
      <c r="E248" s="135"/>
      <c r="F248" s="12"/>
      <c r="G248" s="53" t="str">
        <f>IF(C248="","",IF(C248="Yes","Please describe your endpoint protection strategy.","Please describe your endpoint protection strategy."))</f>
        <v/>
      </c>
      <c r="H248" s="36"/>
      <c r="I248" s="36"/>
      <c r="J248" s="75"/>
      <c r="K248" s="78"/>
      <c r="L248" s="76">
        <f t="shared" si="4"/>
        <v>0</v>
      </c>
      <c r="M248" s="113"/>
      <c r="N248" s="113"/>
      <c r="O248" s="113"/>
      <c r="P248" s="112"/>
      <c r="Q248" s="112"/>
      <c r="R248" s="112"/>
      <c r="S248" s="112"/>
      <c r="T248" s="112"/>
      <c r="U248" s="108" t="s">
        <v>960</v>
      </c>
      <c r="V248" s="107"/>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row>
    <row r="249" spans="1:176" ht="31.5" x14ac:dyDescent="0.2">
      <c r="A249" s="91" t="s">
        <v>270</v>
      </c>
      <c r="B249" s="3" t="s">
        <v>125</v>
      </c>
      <c r="C249" s="13"/>
      <c r="D249" s="135"/>
      <c r="E249" s="135"/>
      <c r="F249" s="12"/>
      <c r="G249" s="54" t="str">
        <f>IF(C249="","",IF(C249="Yes","Describe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49" s="36"/>
      <c r="I249" s="36"/>
      <c r="J249" s="75"/>
      <c r="K249" s="78"/>
      <c r="L249" s="76">
        <f t="shared" si="4"/>
        <v>0</v>
      </c>
      <c r="M249" s="113"/>
      <c r="N249" s="113"/>
      <c r="O249" s="113"/>
      <c r="P249" s="112" t="s">
        <v>1003</v>
      </c>
      <c r="Q249" s="112" t="s">
        <v>1003</v>
      </c>
      <c r="R249" s="112"/>
      <c r="S249" s="143" t="s">
        <v>1089</v>
      </c>
      <c r="T249" s="112" t="s">
        <v>1004</v>
      </c>
      <c r="U249" s="108" t="s">
        <v>797</v>
      </c>
      <c r="V249" s="117" t="s">
        <v>777</v>
      </c>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row>
    <row r="250" spans="1:176" ht="18" x14ac:dyDescent="0.2">
      <c r="A250" s="91" t="s">
        <v>274</v>
      </c>
      <c r="B250" s="4" t="s">
        <v>132</v>
      </c>
      <c r="C250" s="13"/>
      <c r="D250" s="135"/>
      <c r="E250" s="135"/>
      <c r="F250" s="12"/>
      <c r="G250" s="54" t="str">
        <f>IF(C250="","",IF(C250="Yes","Please provide a copy of the most recent audit.","State any plans to have a SOC 2 Type II audit conducted."))</f>
        <v/>
      </c>
      <c r="H250" s="36"/>
      <c r="I250" s="36"/>
      <c r="J250" s="75"/>
      <c r="K250" s="78"/>
      <c r="L250" s="76">
        <f t="shared" si="4"/>
        <v>0</v>
      </c>
      <c r="M250" s="113"/>
      <c r="N250" s="113"/>
      <c r="O250" s="113"/>
      <c r="P250" s="112"/>
      <c r="Q250" s="112"/>
      <c r="R250" s="112"/>
      <c r="S250" s="112"/>
      <c r="T250" s="112"/>
      <c r="U250" s="108"/>
      <c r="V250" s="107"/>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row>
    <row r="251" spans="1:176" ht="28.5" x14ac:dyDescent="0.2">
      <c r="A251" s="91" t="s">
        <v>275</v>
      </c>
      <c r="B251" s="35" t="s">
        <v>597</v>
      </c>
      <c r="C251" s="13"/>
      <c r="D251" s="135"/>
      <c r="E251" s="135"/>
      <c r="F251" s="12"/>
      <c r="G251" s="54" t="str">
        <f>IF(C251="","",IF(C251="Yes","Please provide any currently effective certifications.","State any plans to obtain such compliance certifications."))</f>
        <v/>
      </c>
      <c r="H251" s="36"/>
      <c r="I251" s="36"/>
      <c r="J251" s="75"/>
      <c r="K251" s="78"/>
      <c r="L251" s="76">
        <f t="shared" si="4"/>
        <v>0</v>
      </c>
      <c r="M251" s="113"/>
      <c r="N251" s="113"/>
      <c r="O251" s="113"/>
      <c r="P251" s="112"/>
      <c r="Q251" s="112"/>
      <c r="R251" s="112"/>
      <c r="S251" s="112"/>
      <c r="T251" s="112"/>
      <c r="U251" s="108"/>
      <c r="V251" s="107"/>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row>
    <row r="252" spans="1:176" ht="56.25" customHeight="1" x14ac:dyDescent="0.2">
      <c r="A252" s="91" t="s">
        <v>285</v>
      </c>
      <c r="B252" s="35" t="s">
        <v>1227</v>
      </c>
      <c r="C252" s="13"/>
      <c r="D252" s="135"/>
      <c r="E252" s="135"/>
      <c r="F252" s="12"/>
      <c r="G252" s="53"/>
      <c r="H252" s="36"/>
      <c r="I252" s="36"/>
      <c r="J252" s="75"/>
      <c r="K252" s="78"/>
      <c r="L252" s="76">
        <f t="shared" si="4"/>
        <v>0</v>
      </c>
      <c r="M252" s="113"/>
      <c r="N252" s="113"/>
      <c r="O252" s="113"/>
      <c r="P252" s="112"/>
      <c r="Q252" s="112"/>
      <c r="R252" s="112"/>
      <c r="S252" s="112"/>
      <c r="T252" s="112"/>
      <c r="U252" s="108"/>
      <c r="V252" s="107"/>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row>
    <row r="253" spans="1:176" ht="28.5" x14ac:dyDescent="0.2">
      <c r="A253" s="91" t="s">
        <v>292</v>
      </c>
      <c r="B253" s="3" t="s">
        <v>1228</v>
      </c>
      <c r="C253" s="13"/>
      <c r="D253" s="135"/>
      <c r="E253" s="135"/>
      <c r="F253" s="12"/>
      <c r="G253" s="149" t="str">
        <f>IF(C253="","",IF(C253="Yes","Provide a detailed summary outlining the security controls implemented to protect the entity's data.",""))</f>
        <v/>
      </c>
      <c r="H253" s="36"/>
      <c r="I253" s="36"/>
      <c r="J253" s="75"/>
      <c r="K253" s="78"/>
      <c r="L253" s="76">
        <f t="shared" si="4"/>
        <v>0</v>
      </c>
      <c r="M253" s="113"/>
      <c r="N253" s="113"/>
      <c r="O253" s="113"/>
      <c r="P253" s="112" t="s">
        <v>1005</v>
      </c>
      <c r="Q253" s="112" t="s">
        <v>1005</v>
      </c>
      <c r="R253" s="112" t="s">
        <v>1006</v>
      </c>
      <c r="S253" s="112"/>
      <c r="T253" s="112"/>
      <c r="U253" s="108"/>
      <c r="V253" s="107"/>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row>
    <row r="254" spans="1:176" ht="18" x14ac:dyDescent="0.2">
      <c r="A254" s="91" t="s">
        <v>301</v>
      </c>
      <c r="B254" s="3" t="s">
        <v>75</v>
      </c>
      <c r="C254" s="13"/>
      <c r="D254" s="135"/>
      <c r="E254" s="135"/>
      <c r="F254" s="12"/>
      <c r="G254" s="53" t="str">
        <f>IF(C254="","",IF(C254="Yes","State the retention period for security video.","State your plans to retain video monitoring feeds."))</f>
        <v/>
      </c>
      <c r="H254" s="36"/>
      <c r="I254" s="36"/>
      <c r="J254" s="75"/>
      <c r="K254" s="78"/>
      <c r="L254" s="76">
        <f t="shared" si="4"/>
        <v>0</v>
      </c>
      <c r="M254" s="113"/>
      <c r="N254" s="113"/>
      <c r="O254" s="113"/>
      <c r="P254" s="112" t="s">
        <v>1007</v>
      </c>
      <c r="Q254" s="112" t="s">
        <v>1007</v>
      </c>
      <c r="R254" s="112"/>
      <c r="S254" s="112"/>
      <c r="T254" s="112"/>
      <c r="U254" s="108"/>
      <c r="V254" s="107"/>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row>
    <row r="255" spans="1:176" ht="18" x14ac:dyDescent="0.2">
      <c r="A255" s="91" t="s">
        <v>305</v>
      </c>
      <c r="B255" s="3" t="s">
        <v>76</v>
      </c>
      <c r="C255" s="13"/>
      <c r="D255" s="135"/>
      <c r="E255" s="135"/>
      <c r="F255" s="12"/>
      <c r="G255" s="53" t="str">
        <f>IF(C255="","",IF(C255="Yes","Summarize your video monitoring strategy for datacenter staff.","Describe plans to have video feed(s) monitored."))</f>
        <v/>
      </c>
      <c r="H255" s="36"/>
      <c r="I255" s="36"/>
      <c r="J255" s="75"/>
      <c r="K255" s="78"/>
      <c r="L255" s="76">
        <f t="shared" si="4"/>
        <v>0</v>
      </c>
      <c r="M255" s="113"/>
      <c r="N255" s="113"/>
      <c r="O255" s="113"/>
      <c r="P255" s="112" t="s">
        <v>1007</v>
      </c>
      <c r="Q255" s="112" t="s">
        <v>1007</v>
      </c>
      <c r="R255" s="112" t="s">
        <v>1008</v>
      </c>
      <c r="S255" s="143" t="s">
        <v>1161</v>
      </c>
      <c r="T255" s="112" t="s">
        <v>916</v>
      </c>
      <c r="U255" s="108" t="s">
        <v>917</v>
      </c>
      <c r="V255" s="107" t="s">
        <v>843</v>
      </c>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row>
    <row r="256" spans="1:176" ht="18" x14ac:dyDescent="0.2">
      <c r="A256" s="91" t="s">
        <v>315</v>
      </c>
      <c r="B256" s="3" t="s">
        <v>475</v>
      </c>
      <c r="C256" s="13"/>
      <c r="D256" s="135"/>
      <c r="E256" s="135"/>
      <c r="F256" s="12"/>
      <c r="G256" s="52" t="str">
        <f>IF(C256="","",IF(C256="Yes","Describe all operating systems that are not currently supported, why they still need to be used (i.e. why they cannot be updated), and methods utilized to secure and maintain them.",""))</f>
        <v/>
      </c>
      <c r="H256" s="36"/>
      <c r="I256" s="36"/>
      <c r="J256" s="75"/>
      <c r="K256" s="78"/>
      <c r="L256" s="76">
        <f t="shared" si="4"/>
        <v>0</v>
      </c>
      <c r="M256" s="113"/>
      <c r="N256" s="113"/>
      <c r="O256" s="113"/>
      <c r="P256" s="112"/>
      <c r="Q256" s="112"/>
      <c r="R256" s="112"/>
      <c r="S256" s="112"/>
      <c r="T256" s="112"/>
      <c r="U256" s="108"/>
      <c r="V256" s="107"/>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row>
    <row r="257" spans="1:176" ht="18" x14ac:dyDescent="0.2">
      <c r="A257" s="91" t="s">
        <v>318</v>
      </c>
      <c r="B257" s="3" t="s">
        <v>507</v>
      </c>
      <c r="C257" s="13"/>
      <c r="D257" s="135"/>
      <c r="E257" s="135"/>
      <c r="F257" s="12"/>
      <c r="G257" s="52" t="str">
        <f>IF(C257="","",IF(C257="Yes","Detail all web browsers that are not currently supported, why they still need to be used (i.e. why they cannot be updated), and methods utilized to secure and maintain them.",""))</f>
        <v/>
      </c>
      <c r="H257" s="36"/>
      <c r="I257" s="36"/>
      <c r="J257" s="75"/>
      <c r="K257" s="78"/>
      <c r="L257" s="76">
        <f t="shared" si="4"/>
        <v>0</v>
      </c>
      <c r="M257" s="113"/>
      <c r="N257" s="113"/>
      <c r="O257" s="113"/>
      <c r="P257" s="112"/>
      <c r="Q257" s="112"/>
      <c r="R257" s="112"/>
      <c r="S257" s="112"/>
      <c r="T257" s="112"/>
      <c r="U257" s="108"/>
      <c r="V257" s="10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row>
    <row r="258" spans="1:176" ht="31.5" x14ac:dyDescent="0.2">
      <c r="A258" s="91" t="s">
        <v>342</v>
      </c>
      <c r="B258" s="3" t="s">
        <v>80</v>
      </c>
      <c r="C258" s="13"/>
      <c r="D258" s="135"/>
      <c r="E258" s="135"/>
      <c r="F258" s="12"/>
      <c r="G258" s="53" t="str">
        <f>IF(C258="","",IF(C258="Yes","Summarize the information security principles designed into the product lifecycle and how they are integrated.","Describe why security principles are not designed into the product lifecycle."))</f>
        <v/>
      </c>
      <c r="H258" s="36"/>
      <c r="I258" s="36"/>
      <c r="J258" s="75"/>
      <c r="K258" s="78"/>
      <c r="L258" s="76">
        <f t="shared" si="4"/>
        <v>0</v>
      </c>
      <c r="M258" s="113"/>
      <c r="N258" s="113"/>
      <c r="O258" s="113"/>
      <c r="P258" s="114" t="s">
        <v>1009</v>
      </c>
      <c r="Q258" s="114" t="s">
        <v>1009</v>
      </c>
      <c r="R258" s="112" t="s">
        <v>1010</v>
      </c>
      <c r="S258" s="143" t="s">
        <v>1140</v>
      </c>
      <c r="T258" s="114" t="s">
        <v>1011</v>
      </c>
      <c r="U258" s="108" t="s">
        <v>813</v>
      </c>
      <c r="V258" s="107" t="s">
        <v>674</v>
      </c>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row>
    <row r="259" spans="1:176" ht="108" x14ac:dyDescent="0.2">
      <c r="A259" s="190" t="s">
        <v>141</v>
      </c>
      <c r="B259" s="190"/>
      <c r="C259" s="141" t="str">
        <f>"Response for " &amp; C45</f>
        <v>Response for Supplier Systems</v>
      </c>
      <c r="D259" s="132" t="s">
        <v>526</v>
      </c>
      <c r="E259" s="132" t="s">
        <v>99</v>
      </c>
      <c r="F259" s="2" t="s">
        <v>17</v>
      </c>
      <c r="G259" s="2" t="s">
        <v>18</v>
      </c>
      <c r="H259" s="2" t="s">
        <v>339</v>
      </c>
      <c r="I259" s="2" t="s">
        <v>365</v>
      </c>
      <c r="J259" s="224" t="s">
        <v>566</v>
      </c>
      <c r="K259" s="225"/>
      <c r="L259" s="74">
        <f>SUM(L260:L275)</f>
        <v>0</v>
      </c>
      <c r="M259" s="94" t="s">
        <v>602</v>
      </c>
      <c r="N259" s="94" t="s">
        <v>603</v>
      </c>
      <c r="O259" s="94" t="s">
        <v>604</v>
      </c>
      <c r="P259" s="95" t="s">
        <v>605</v>
      </c>
      <c r="Q259" s="95" t="s">
        <v>606</v>
      </c>
      <c r="R259" s="95" t="s">
        <v>607</v>
      </c>
      <c r="S259" s="96" t="s">
        <v>1086</v>
      </c>
      <c r="T259" s="97" t="s">
        <v>610</v>
      </c>
      <c r="U259" s="95" t="s">
        <v>613</v>
      </c>
      <c r="V259" s="95" t="s">
        <v>617</v>
      </c>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row>
    <row r="260" spans="1:176" ht="47.25" x14ac:dyDescent="0.2">
      <c r="A260" s="91" t="s">
        <v>82</v>
      </c>
      <c r="B260" s="18" t="s">
        <v>338</v>
      </c>
      <c r="C260" s="13"/>
      <c r="D260" s="135"/>
      <c r="E260" s="135"/>
      <c r="F260" s="12"/>
      <c r="G260" s="53" t="str">
        <f>IF(C260="","",IF(C260="Yes","Describe your external application vulnerability scanning strategy and provide when the last assessment was performed","Describe any plans to implement external vulnerability scanning for your applications."))</f>
        <v/>
      </c>
      <c r="H260" s="36"/>
      <c r="I260" s="36"/>
      <c r="J260" s="75"/>
      <c r="K260" s="78"/>
      <c r="L260" s="76">
        <f t="shared" ref="L260:L277" si="5">J260*K260</f>
        <v>0</v>
      </c>
      <c r="M260" s="115" t="s">
        <v>1182</v>
      </c>
      <c r="N260" s="113"/>
      <c r="O260" s="115" t="s">
        <v>1079</v>
      </c>
      <c r="P260" s="112" t="s">
        <v>649</v>
      </c>
      <c r="Q260" s="112" t="s">
        <v>649</v>
      </c>
      <c r="R260" s="112" t="s">
        <v>635</v>
      </c>
      <c r="S260" s="148" t="s">
        <v>1160</v>
      </c>
      <c r="T260" s="114" t="s">
        <v>1012</v>
      </c>
      <c r="U260" s="108" t="s">
        <v>637</v>
      </c>
      <c r="V260" s="107" t="s">
        <v>638</v>
      </c>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row>
    <row r="261" spans="1:176" ht="30" customHeight="1" x14ac:dyDescent="0.2">
      <c r="A261" s="91" t="s">
        <v>83</v>
      </c>
      <c r="B261" s="3" t="s">
        <v>85</v>
      </c>
      <c r="C261" s="13"/>
      <c r="D261" s="135"/>
      <c r="E261" s="135"/>
      <c r="F261" s="12"/>
      <c r="G261" s="53" t="str">
        <f>IF(C261="","",IF(C261="Yes","Summarize your vulnerability scanning strategy.","Describe plans to implement application vulnerability scanning prior to release."))</f>
        <v/>
      </c>
      <c r="H261" s="36"/>
      <c r="I261" s="36"/>
      <c r="J261" s="75"/>
      <c r="K261" s="78"/>
      <c r="L261" s="76">
        <f t="shared" si="5"/>
        <v>0</v>
      </c>
      <c r="M261" s="113"/>
      <c r="N261" s="113"/>
      <c r="O261" s="113" t="s">
        <v>1080</v>
      </c>
      <c r="P261" s="112" t="s">
        <v>1013</v>
      </c>
      <c r="Q261" s="112" t="s">
        <v>1013</v>
      </c>
      <c r="R261" s="112"/>
      <c r="S261" s="112"/>
      <c r="T261" s="112" t="s">
        <v>1014</v>
      </c>
      <c r="U261" s="108" t="s">
        <v>1015</v>
      </c>
      <c r="V261" s="107" t="s">
        <v>674</v>
      </c>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row>
    <row r="262" spans="1:176" ht="31.5" x14ac:dyDescent="0.2">
      <c r="A262" s="91" t="s">
        <v>84</v>
      </c>
      <c r="B262" s="3" t="s">
        <v>78</v>
      </c>
      <c r="C262" s="13"/>
      <c r="D262" s="135"/>
      <c r="E262" s="135"/>
      <c r="F262" s="12"/>
      <c r="G262" s="55" t="str">
        <f>IF(C262="","",IF(C262="Yes","Provide a list of the results and all tools utilized during static code analysis or static application security testing.","State your plans to implement static code testing practices into your environment."))</f>
        <v/>
      </c>
      <c r="H262" s="36"/>
      <c r="I262" s="36"/>
      <c r="J262" s="75"/>
      <c r="K262" s="78"/>
      <c r="L262" s="76">
        <f t="shared" si="5"/>
        <v>0</v>
      </c>
      <c r="M262" s="113"/>
      <c r="N262" s="113"/>
      <c r="O262" s="113"/>
      <c r="P262" s="112" t="s">
        <v>1013</v>
      </c>
      <c r="Q262" s="112" t="s">
        <v>1013</v>
      </c>
      <c r="R262" s="112"/>
      <c r="S262" s="112"/>
      <c r="T262" s="114" t="s">
        <v>1016</v>
      </c>
      <c r="U262" s="108" t="s">
        <v>1015</v>
      </c>
      <c r="V262" s="107"/>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row>
    <row r="263" spans="1:176" ht="63" x14ac:dyDescent="0.2">
      <c r="A263" s="91" t="s">
        <v>86</v>
      </c>
      <c r="B263" s="18" t="s">
        <v>559</v>
      </c>
      <c r="C263" s="13"/>
      <c r="D263" s="135"/>
      <c r="E263" s="135"/>
      <c r="F263" s="19"/>
      <c r="G263" s="53"/>
      <c r="H263" s="36"/>
      <c r="I263" s="36" t="s">
        <v>458</v>
      </c>
      <c r="J263" s="75"/>
      <c r="K263" s="78"/>
      <c r="L263" s="76">
        <f t="shared" si="5"/>
        <v>0</v>
      </c>
      <c r="M263" s="113" t="s">
        <v>964</v>
      </c>
      <c r="N263" s="113"/>
      <c r="O263" s="113"/>
      <c r="P263" s="114" t="s">
        <v>1017</v>
      </c>
      <c r="Q263" s="114" t="s">
        <v>1017</v>
      </c>
      <c r="R263" s="112" t="s">
        <v>815</v>
      </c>
      <c r="S263" s="148" t="s">
        <v>1172</v>
      </c>
      <c r="T263" s="114" t="s">
        <v>1018</v>
      </c>
      <c r="U263" s="116" t="s">
        <v>1019</v>
      </c>
      <c r="V263" s="117" t="s">
        <v>1020</v>
      </c>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row>
    <row r="264" spans="1:176" ht="47.25" x14ac:dyDescent="0.2">
      <c r="A264" s="91" t="s">
        <v>87</v>
      </c>
      <c r="B264" s="18" t="s">
        <v>1229</v>
      </c>
      <c r="C264" s="13"/>
      <c r="D264" s="135"/>
      <c r="E264" s="135"/>
      <c r="F264" s="19"/>
      <c r="G264" s="52" t="str">
        <f>IF(C264="","",IF(C264="Yes","Please describe in adequate detail, including timeframe for notification.",""))</f>
        <v/>
      </c>
      <c r="H264" s="36">
        <v>57</v>
      </c>
      <c r="I264" s="36" t="s">
        <v>460</v>
      </c>
      <c r="J264" s="75"/>
      <c r="K264" s="78"/>
      <c r="L264" s="76">
        <f t="shared" si="5"/>
        <v>0</v>
      </c>
      <c r="M264" s="113" t="s">
        <v>964</v>
      </c>
      <c r="N264" s="113"/>
      <c r="O264" s="113"/>
      <c r="P264" s="114" t="s">
        <v>1021</v>
      </c>
      <c r="Q264" s="114" t="s">
        <v>1021</v>
      </c>
      <c r="R264" s="112" t="s">
        <v>815</v>
      </c>
      <c r="S264" s="148" t="s">
        <v>1172</v>
      </c>
      <c r="T264" s="114" t="s">
        <v>1022</v>
      </c>
      <c r="U264" s="116" t="s">
        <v>1019</v>
      </c>
      <c r="V264" s="117" t="s">
        <v>1023</v>
      </c>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row>
    <row r="265" spans="1:176" ht="47.25" x14ac:dyDescent="0.2">
      <c r="A265" s="91" t="s">
        <v>88</v>
      </c>
      <c r="B265" s="18" t="s">
        <v>598</v>
      </c>
      <c r="C265" s="13"/>
      <c r="D265" s="135"/>
      <c r="E265" s="135"/>
      <c r="F265" s="19"/>
      <c r="G265" s="52" t="str">
        <f>IF(C265="","",IF(C265="Yes","Describe your process to remediate security risks identified and provide timeframe.","Describe any plans to implement a process to remediate security risks identified."))</f>
        <v/>
      </c>
      <c r="H265" s="36"/>
      <c r="I265" s="36"/>
      <c r="J265" s="75"/>
      <c r="K265" s="78"/>
      <c r="L265" s="76">
        <f t="shared" si="5"/>
        <v>0</v>
      </c>
      <c r="M265" s="113" t="s">
        <v>928</v>
      </c>
      <c r="N265" s="113"/>
      <c r="O265" s="113"/>
      <c r="P265" s="112"/>
      <c r="Q265" s="112"/>
      <c r="R265" s="112"/>
      <c r="S265" s="112"/>
      <c r="T265" s="114" t="s">
        <v>1024</v>
      </c>
      <c r="U265" s="108"/>
      <c r="V265" s="107"/>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row>
    <row r="266" spans="1:176" ht="28.5" x14ac:dyDescent="0.2">
      <c r="A266" s="91" t="s">
        <v>89</v>
      </c>
      <c r="B266" s="18" t="s">
        <v>560</v>
      </c>
      <c r="C266" s="13"/>
      <c r="D266" s="135"/>
      <c r="E266" s="135"/>
      <c r="F266" s="19"/>
      <c r="G266" s="52"/>
      <c r="H266" s="36"/>
      <c r="I266" s="36"/>
      <c r="J266" s="75"/>
      <c r="K266" s="78"/>
      <c r="L266" s="76">
        <f t="shared" si="5"/>
        <v>0</v>
      </c>
      <c r="M266" s="113"/>
      <c r="N266" s="113"/>
      <c r="O266" s="113" t="s">
        <v>1074</v>
      </c>
      <c r="P266" s="112" t="s">
        <v>1025</v>
      </c>
      <c r="Q266" s="112" t="s">
        <v>1025</v>
      </c>
      <c r="R266" s="112" t="s">
        <v>804</v>
      </c>
      <c r="S266" s="143" t="s">
        <v>1138</v>
      </c>
      <c r="T266" s="112" t="s">
        <v>1026</v>
      </c>
      <c r="U266" s="108"/>
      <c r="V266" s="107" t="s">
        <v>674</v>
      </c>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row>
    <row r="267" spans="1:176" ht="47.25" x14ac:dyDescent="0.2">
      <c r="A267" s="91" t="s">
        <v>239</v>
      </c>
      <c r="B267" s="3" t="s">
        <v>109</v>
      </c>
      <c r="C267" s="13"/>
      <c r="D267" s="135"/>
      <c r="E267" s="135"/>
      <c r="F267" s="12"/>
      <c r="G267" s="53" t="str">
        <f>IF(C267="","",IF(C267="Yes","Decribe your external system vulnerability scanning strategy, including the frequency of both types of scans.","Describe any plans to implement vulnerability scanning for your systems."))</f>
        <v/>
      </c>
      <c r="H267" s="36" t="s">
        <v>534</v>
      </c>
      <c r="I267" s="36" t="s">
        <v>453</v>
      </c>
      <c r="J267" s="75"/>
      <c r="K267" s="78"/>
      <c r="L267" s="76">
        <f t="shared" si="5"/>
        <v>0</v>
      </c>
      <c r="M267" s="113"/>
      <c r="N267" s="113"/>
      <c r="O267" s="115" t="s">
        <v>1081</v>
      </c>
      <c r="P267" s="112" t="s">
        <v>649</v>
      </c>
      <c r="Q267" s="112" t="s">
        <v>649</v>
      </c>
      <c r="R267" s="112" t="s">
        <v>635</v>
      </c>
      <c r="S267" s="148" t="s">
        <v>1160</v>
      </c>
      <c r="T267" s="114" t="s">
        <v>1012</v>
      </c>
      <c r="U267" s="108" t="s">
        <v>637</v>
      </c>
      <c r="V267" s="107" t="s">
        <v>638</v>
      </c>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row>
    <row r="268" spans="1:176" ht="31.5" x14ac:dyDescent="0.2">
      <c r="A268" s="91" t="s">
        <v>240</v>
      </c>
      <c r="B268" s="3" t="s">
        <v>110</v>
      </c>
      <c r="C268" s="13"/>
      <c r="D268" s="135"/>
      <c r="E268" s="135"/>
      <c r="F268" s="12"/>
      <c r="G268" s="53" t="str">
        <f>IF(C268="","",IF(C268="Yes","State the date of your most recent system external assessment.","Describe any plans to have system external assessment(s) performed on your systems."))</f>
        <v/>
      </c>
      <c r="H268" s="36"/>
      <c r="I268" s="36"/>
      <c r="J268" s="75"/>
      <c r="K268" s="78"/>
      <c r="L268" s="76">
        <f t="shared" si="5"/>
        <v>0</v>
      </c>
      <c r="M268" s="113"/>
      <c r="N268" s="113"/>
      <c r="O268" s="113" t="s">
        <v>1082</v>
      </c>
      <c r="P268" s="112" t="s">
        <v>649</v>
      </c>
      <c r="Q268" s="112" t="s">
        <v>649</v>
      </c>
      <c r="R268" s="112" t="s">
        <v>635</v>
      </c>
      <c r="S268" s="148" t="s">
        <v>1160</v>
      </c>
      <c r="T268" s="112"/>
      <c r="U268" s="108" t="s">
        <v>637</v>
      </c>
      <c r="V268" s="107" t="s">
        <v>638</v>
      </c>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row>
    <row r="269" spans="1:176" ht="31.5" x14ac:dyDescent="0.2">
      <c r="A269" s="91" t="s">
        <v>241</v>
      </c>
      <c r="B269" s="3" t="s">
        <v>90</v>
      </c>
      <c r="C269" s="13"/>
      <c r="D269" s="135"/>
      <c r="E269" s="135"/>
      <c r="F269" s="11"/>
      <c r="G269" s="53" t="s">
        <v>532</v>
      </c>
      <c r="H269" s="36"/>
      <c r="I269" s="36"/>
      <c r="J269" s="75"/>
      <c r="K269" s="78"/>
      <c r="L269" s="76">
        <f t="shared" si="5"/>
        <v>0</v>
      </c>
      <c r="M269" s="113"/>
      <c r="N269" s="113"/>
      <c r="O269" s="113"/>
      <c r="P269" s="112" t="s">
        <v>649</v>
      </c>
      <c r="Q269" s="112" t="s">
        <v>649</v>
      </c>
      <c r="R269" s="112" t="s">
        <v>635</v>
      </c>
      <c r="S269" s="148" t="s">
        <v>1160</v>
      </c>
      <c r="T269" s="114" t="s">
        <v>1027</v>
      </c>
      <c r="U269" s="108" t="s">
        <v>637</v>
      </c>
      <c r="V269" s="107" t="s">
        <v>638</v>
      </c>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row>
    <row r="270" spans="1:176" ht="18" x14ac:dyDescent="0.2">
      <c r="A270" s="91" t="s">
        <v>242</v>
      </c>
      <c r="B270" s="3" t="s">
        <v>1230</v>
      </c>
      <c r="C270" s="13"/>
      <c r="D270" s="135"/>
      <c r="E270" s="135"/>
      <c r="F270" s="12"/>
      <c r="G270" s="149" t="str">
        <f>IF(C270="","",IF(C270="Yes","Provide a reference to or attach security scan documentation.","Describe why security scan results will not be provided to the entity."))</f>
        <v/>
      </c>
      <c r="H270" s="36"/>
      <c r="I270" s="36"/>
      <c r="J270" s="75"/>
      <c r="K270" s="78"/>
      <c r="L270" s="76">
        <f t="shared" si="5"/>
        <v>0</v>
      </c>
      <c r="M270" s="113"/>
      <c r="N270" s="113"/>
      <c r="O270" s="113"/>
      <c r="P270" s="112" t="s">
        <v>649</v>
      </c>
      <c r="Q270" s="112" t="s">
        <v>649</v>
      </c>
      <c r="R270" s="112"/>
      <c r="S270" s="112"/>
      <c r="T270" s="112"/>
      <c r="U270" s="108"/>
      <c r="V270" s="107"/>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row>
    <row r="271" spans="1:176" ht="28.5" x14ac:dyDescent="0.2">
      <c r="A271" s="91" t="s">
        <v>243</v>
      </c>
      <c r="B271" s="18" t="s">
        <v>599</v>
      </c>
      <c r="C271" s="13"/>
      <c r="D271" s="135"/>
      <c r="E271" s="135"/>
      <c r="F271" s="12"/>
      <c r="G271" s="53" t="str">
        <f>IF(C271="","",IF(C271="Yes","Provide reference to the process or procedure to setup security testing times and scopes.","Provide a brief summary for your response."))</f>
        <v/>
      </c>
      <c r="H271" s="36"/>
      <c r="I271" s="36"/>
      <c r="J271" s="75"/>
      <c r="K271" s="78"/>
      <c r="L271" s="76">
        <f t="shared" si="5"/>
        <v>0</v>
      </c>
      <c r="M271" s="113"/>
      <c r="N271" s="113"/>
      <c r="O271" s="113"/>
      <c r="P271" s="112"/>
      <c r="Q271" s="112"/>
      <c r="R271" s="112"/>
      <c r="S271" s="112"/>
      <c r="T271" s="112"/>
      <c r="U271" s="108"/>
      <c r="V271" s="107"/>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row>
    <row r="272" spans="1:176" ht="31.5" x14ac:dyDescent="0.2">
      <c r="A272" s="91" t="s">
        <v>300</v>
      </c>
      <c r="B272" s="3" t="s">
        <v>79</v>
      </c>
      <c r="C272" s="13"/>
      <c r="D272" s="135"/>
      <c r="E272" s="135"/>
      <c r="F272" s="12"/>
      <c r="G272" s="55" t="str">
        <f>IF(C272="","",IF(C272="Yes","Describe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72" s="36"/>
      <c r="I272" s="36" t="s">
        <v>397</v>
      </c>
      <c r="J272" s="75"/>
      <c r="K272" s="78"/>
      <c r="L272" s="76">
        <f t="shared" si="5"/>
        <v>0</v>
      </c>
      <c r="M272" s="113"/>
      <c r="N272" s="113"/>
      <c r="O272" s="113"/>
      <c r="P272" s="112" t="s">
        <v>1013</v>
      </c>
      <c r="Q272" s="112" t="s">
        <v>1013</v>
      </c>
      <c r="R272" s="112"/>
      <c r="S272" s="112"/>
      <c r="T272" s="114" t="s">
        <v>1028</v>
      </c>
      <c r="U272" s="108" t="s">
        <v>813</v>
      </c>
      <c r="V272" s="107" t="s">
        <v>674</v>
      </c>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row>
    <row r="273" spans="1:176" ht="31.5" x14ac:dyDescent="0.2">
      <c r="A273" s="91" t="s">
        <v>310</v>
      </c>
      <c r="B273" s="3" t="s">
        <v>1192</v>
      </c>
      <c r="C273" s="13"/>
      <c r="D273" s="135"/>
      <c r="E273" s="135"/>
      <c r="F273" s="12"/>
      <c r="G273" s="123" t="str">
        <f>IF(C273="","",IF(C273="Yes","Describe or provide a reference to/attach your software development life cycle approach, to include any attestations, assessments, or industry certifications that may apply.","Describe any plans to implement a documented SDLC."))</f>
        <v/>
      </c>
      <c r="H273" s="36"/>
      <c r="I273" s="36"/>
      <c r="J273" s="75"/>
      <c r="K273" s="78"/>
      <c r="L273" s="76">
        <f t="shared" si="5"/>
        <v>0</v>
      </c>
      <c r="M273" s="113"/>
      <c r="N273" s="113"/>
      <c r="O273" s="113"/>
      <c r="P273" s="112" t="s">
        <v>671</v>
      </c>
      <c r="Q273" s="112" t="s">
        <v>671</v>
      </c>
      <c r="R273" s="112"/>
      <c r="S273" s="143" t="s">
        <v>1141</v>
      </c>
      <c r="T273" s="114" t="s">
        <v>1029</v>
      </c>
      <c r="U273" s="108" t="s">
        <v>813</v>
      </c>
      <c r="V273" s="107" t="s">
        <v>674</v>
      </c>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row>
    <row r="274" spans="1:176" ht="18" x14ac:dyDescent="0.2">
      <c r="A274" s="91" t="s">
        <v>312</v>
      </c>
      <c r="B274" s="3" t="s">
        <v>98</v>
      </c>
      <c r="C274" s="13"/>
      <c r="D274" s="135"/>
      <c r="E274" s="135"/>
      <c r="F274" s="12"/>
      <c r="G274" s="55"/>
      <c r="H274" s="36"/>
      <c r="I274" s="36"/>
      <c r="J274" s="75"/>
      <c r="K274" s="78"/>
      <c r="L274" s="76">
        <f t="shared" si="5"/>
        <v>0</v>
      </c>
      <c r="M274" s="113"/>
      <c r="N274" s="113"/>
      <c r="O274" s="113"/>
      <c r="P274" s="112" t="s">
        <v>1013</v>
      </c>
      <c r="Q274" s="112" t="s">
        <v>1013</v>
      </c>
      <c r="R274" s="112"/>
      <c r="S274" s="112"/>
      <c r="T274" s="112"/>
      <c r="U274" s="108"/>
      <c r="V274" s="107"/>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row>
    <row r="275" spans="1:176" ht="31.5" x14ac:dyDescent="0.2">
      <c r="A275" s="91" t="s">
        <v>313</v>
      </c>
      <c r="B275" s="18" t="s">
        <v>561</v>
      </c>
      <c r="C275" s="13"/>
      <c r="D275" s="135"/>
      <c r="E275" s="135"/>
      <c r="F275" s="11"/>
      <c r="G275" s="52" t="str">
        <f>IF(C275="","",IF(C275="Yes","Please provide information on the pentetration testing (i.e., when was the test conducted, key findings, etc.).","Please detail any current plans to conduct third-party penetration testing."))</f>
        <v/>
      </c>
      <c r="H275" s="36"/>
      <c r="I275" s="36"/>
      <c r="J275" s="75"/>
      <c r="K275" s="78"/>
      <c r="L275" s="76">
        <f t="shared" si="5"/>
        <v>0</v>
      </c>
      <c r="M275" s="113"/>
      <c r="N275" s="113"/>
      <c r="O275" s="113"/>
      <c r="P275" s="112"/>
      <c r="Q275" s="112" t="s">
        <v>1030</v>
      </c>
      <c r="R275" s="112"/>
      <c r="S275" s="112"/>
      <c r="T275" s="114" t="s">
        <v>1031</v>
      </c>
      <c r="U275" s="108"/>
      <c r="V275" s="107" t="s">
        <v>1032</v>
      </c>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row>
    <row r="276" spans="1:176" ht="108" x14ac:dyDescent="0.2">
      <c r="A276" s="190" t="s">
        <v>128</v>
      </c>
      <c r="B276" s="190"/>
      <c r="C276" s="141" t="str">
        <f>"Response for " &amp; C45</f>
        <v>Response for Supplier Systems</v>
      </c>
      <c r="D276" s="132" t="s">
        <v>526</v>
      </c>
      <c r="E276" s="132" t="s">
        <v>99</v>
      </c>
      <c r="F276" s="2" t="s">
        <v>17</v>
      </c>
      <c r="G276" s="2" t="s">
        <v>18</v>
      </c>
      <c r="H276" s="2" t="s">
        <v>339</v>
      </c>
      <c r="I276" s="2" t="s">
        <v>365</v>
      </c>
      <c r="J276" s="224" t="s">
        <v>566</v>
      </c>
      <c r="K276" s="225"/>
      <c r="L276" s="74">
        <f>L277</f>
        <v>0</v>
      </c>
      <c r="M276" s="94" t="s">
        <v>602</v>
      </c>
      <c r="N276" s="94" t="s">
        <v>603</v>
      </c>
      <c r="O276" s="94" t="s">
        <v>604</v>
      </c>
      <c r="P276" s="95" t="s">
        <v>605</v>
      </c>
      <c r="Q276" s="95" t="s">
        <v>606</v>
      </c>
      <c r="R276" s="95" t="s">
        <v>607</v>
      </c>
      <c r="S276" s="96" t="s">
        <v>1086</v>
      </c>
      <c r="T276" s="97" t="s">
        <v>610</v>
      </c>
      <c r="U276" s="95" t="s">
        <v>613</v>
      </c>
      <c r="V276" s="95" t="s">
        <v>617</v>
      </c>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row>
    <row r="277" spans="1:176" ht="28.5" x14ac:dyDescent="0.25">
      <c r="A277" s="91" t="s">
        <v>129</v>
      </c>
      <c r="B277" s="3" t="s">
        <v>131</v>
      </c>
      <c r="C277" s="12"/>
      <c r="D277" s="138"/>
      <c r="E277" s="138"/>
      <c r="F277" s="12"/>
      <c r="G277" s="53"/>
      <c r="H277" s="38"/>
      <c r="I277" s="39"/>
      <c r="J277" s="75"/>
      <c r="K277" s="78"/>
      <c r="L277" s="76">
        <f t="shared" si="5"/>
        <v>0</v>
      </c>
      <c r="M277" s="110"/>
      <c r="N277" s="110"/>
      <c r="O277" s="110"/>
      <c r="P277" s="103"/>
      <c r="Q277" s="103"/>
      <c r="R277" s="103"/>
      <c r="S277" s="103"/>
      <c r="T277" s="103"/>
      <c r="U277" s="104"/>
      <c r="V277" s="105"/>
      <c r="FT277"/>
    </row>
  </sheetData>
  <mergeCells count="69">
    <mergeCell ref="J276:K276"/>
    <mergeCell ref="J182:K182"/>
    <mergeCell ref="J208:K208"/>
    <mergeCell ref="J221:K221"/>
    <mergeCell ref="J232:K232"/>
    <mergeCell ref="J259:K259"/>
    <mergeCell ref="C10:I10"/>
    <mergeCell ref="C13:I13"/>
    <mergeCell ref="C20:I20"/>
    <mergeCell ref="C21:I21"/>
    <mergeCell ref="C22:I22"/>
    <mergeCell ref="C18:I18"/>
    <mergeCell ref="C19:I19"/>
    <mergeCell ref="J77:K77"/>
    <mergeCell ref="J91:K91"/>
    <mergeCell ref="J121:K121"/>
    <mergeCell ref="J5:K5"/>
    <mergeCell ref="J46:K46"/>
    <mergeCell ref="J61:K61"/>
    <mergeCell ref="A142:B142"/>
    <mergeCell ref="A157:B157"/>
    <mergeCell ref="A121:B121"/>
    <mergeCell ref="A91:B91"/>
    <mergeCell ref="J142:K142"/>
    <mergeCell ref="J157:K157"/>
    <mergeCell ref="A276:B276"/>
    <mergeCell ref="A182:B182"/>
    <mergeCell ref="A208:B208"/>
    <mergeCell ref="A221:B221"/>
    <mergeCell ref="A232:B232"/>
    <mergeCell ref="A259:B259"/>
    <mergeCell ref="A1:F1"/>
    <mergeCell ref="A26:G26"/>
    <mergeCell ref="B39:G39"/>
    <mergeCell ref="C23:I23"/>
    <mergeCell ref="C24:I24"/>
    <mergeCell ref="A25:I25"/>
    <mergeCell ref="C2:I2"/>
    <mergeCell ref="A4:I4"/>
    <mergeCell ref="A3:I3"/>
    <mergeCell ref="A5:I5"/>
    <mergeCell ref="C6:I6"/>
    <mergeCell ref="C11:I11"/>
    <mergeCell ref="C12:I12"/>
    <mergeCell ref="C17:I17"/>
    <mergeCell ref="C15:I15"/>
    <mergeCell ref="C16:I16"/>
    <mergeCell ref="A2:B2"/>
    <mergeCell ref="A42:I42"/>
    <mergeCell ref="C40:I40"/>
    <mergeCell ref="A46:B46"/>
    <mergeCell ref="A77:B77"/>
    <mergeCell ref="A43:I44"/>
    <mergeCell ref="A40:B40"/>
    <mergeCell ref="A41:B41"/>
    <mergeCell ref="A61:B61"/>
    <mergeCell ref="C41:I41"/>
    <mergeCell ref="A45:B45"/>
    <mergeCell ref="C45:F45"/>
    <mergeCell ref="C14:I14"/>
    <mergeCell ref="C7:I7"/>
    <mergeCell ref="C8:I8"/>
    <mergeCell ref="C9:I9"/>
    <mergeCell ref="V44:V45"/>
    <mergeCell ref="J2:L2"/>
    <mergeCell ref="M44:O45"/>
    <mergeCell ref="P44:S45"/>
    <mergeCell ref="T44:T45"/>
    <mergeCell ref="U44:U45"/>
  </mergeCells>
  <phoneticPr fontId="32" type="noConversion"/>
  <conditionalFormatting sqref="L5 L46:L277">
    <cfRule type="cellIs" dxfId="0" priority="13" operator="lessThan">
      <formula>1</formula>
    </cfRule>
  </conditionalFormatting>
  <dataValidations count="2">
    <dataValidation type="list" allowBlank="1" showInputMessage="1" showErrorMessage="1" sqref="J62:K76 J78:K90 J122:K141 J143:K156 J158:K181 J183:K207 J209:K220 J222:K231 J233:K258 J277:K1048576 J260:K275 J47:K60 J92:K120" xr:uid="{8B351DFD-D064-4FE3-A6DD-61DFD5B3071C}">
      <formula1>"1,2,3,4,5"</formula1>
    </dataValidation>
    <dataValidation type="list" allowBlank="1" showInputMessage="1" showErrorMessage="1" sqref="C45:F45" xr:uid="{107D88C4-5F45-4345-A436-C37DB85C559C}">
      <formula1>"Supplier Systems, Supplier Product, Supplier Development Environment"</formula1>
    </dataValidation>
  </dataValidations>
  <pageMargins left="0.75" right="0.75" top="1" bottom="1" header="0.5" footer="0.5"/>
  <pageSetup paperSize="5" scale="13" fitToHeight="0" orientation="landscape" r:id="rId1"/>
  <ignoredErrors>
    <ignoredError sqref="L91 L77 L61 L121 L142 L157 L182 L208 L221 L232 L259 L27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419100</xdr:colOff>
                    <xdr:row>25</xdr:row>
                    <xdr:rowOff>219075</xdr:rowOff>
                  </from>
                  <to>
                    <xdr:col>0</xdr:col>
                    <xdr:colOff>695325</xdr:colOff>
                    <xdr:row>27</xdr:row>
                    <xdr:rowOff>76200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419100</xdr:colOff>
                    <xdr:row>26</xdr:row>
                    <xdr:rowOff>190500</xdr:rowOff>
                  </from>
                  <to>
                    <xdr:col>0</xdr:col>
                    <xdr:colOff>695325</xdr:colOff>
                    <xdr:row>28</xdr:row>
                    <xdr:rowOff>66675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419100</xdr:colOff>
                    <xdr:row>29</xdr:row>
                    <xdr:rowOff>190500</xdr:rowOff>
                  </from>
                  <to>
                    <xdr:col>0</xdr:col>
                    <xdr:colOff>695325</xdr:colOff>
                    <xdr:row>31</xdr:row>
                    <xdr:rowOff>57150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419100</xdr:colOff>
                    <xdr:row>28</xdr:row>
                    <xdr:rowOff>190500</xdr:rowOff>
                  </from>
                  <to>
                    <xdr:col>0</xdr:col>
                    <xdr:colOff>695325</xdr:colOff>
                    <xdr:row>30</xdr:row>
                    <xdr:rowOff>66675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419100</xdr:colOff>
                    <xdr:row>33</xdr:row>
                    <xdr:rowOff>190500</xdr:rowOff>
                  </from>
                  <to>
                    <xdr:col>0</xdr:col>
                    <xdr:colOff>695325</xdr:colOff>
                    <xdr:row>35</xdr:row>
                    <xdr:rowOff>66675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419100</xdr:colOff>
                    <xdr:row>34</xdr:row>
                    <xdr:rowOff>200025</xdr:rowOff>
                  </from>
                  <to>
                    <xdr:col>0</xdr:col>
                    <xdr:colOff>695325</xdr:colOff>
                    <xdr:row>36</xdr:row>
                    <xdr:rowOff>66675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419100</xdr:colOff>
                    <xdr:row>35</xdr:row>
                    <xdr:rowOff>200025</xdr:rowOff>
                  </from>
                  <to>
                    <xdr:col>0</xdr:col>
                    <xdr:colOff>695325</xdr:colOff>
                    <xdr:row>37</xdr:row>
                    <xdr:rowOff>66675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0</xdr:col>
                    <xdr:colOff>419100</xdr:colOff>
                    <xdr:row>27</xdr:row>
                    <xdr:rowOff>190500</xdr:rowOff>
                  </from>
                  <to>
                    <xdr:col>0</xdr:col>
                    <xdr:colOff>695325</xdr:colOff>
                    <xdr:row>29</xdr:row>
                    <xdr:rowOff>66675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0</xdr:col>
                    <xdr:colOff>419100</xdr:colOff>
                    <xdr:row>32</xdr:row>
                    <xdr:rowOff>200025</xdr:rowOff>
                  </from>
                  <to>
                    <xdr:col>0</xdr:col>
                    <xdr:colOff>695325</xdr:colOff>
                    <xdr:row>34</xdr:row>
                    <xdr:rowOff>66675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419100</xdr:colOff>
                    <xdr:row>36</xdr:row>
                    <xdr:rowOff>200025</xdr:rowOff>
                  </from>
                  <to>
                    <xdr:col>0</xdr:col>
                    <xdr:colOff>695325</xdr:colOff>
                    <xdr:row>38</xdr:row>
                    <xdr:rowOff>66675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419100</xdr:colOff>
                    <xdr:row>37</xdr:row>
                    <xdr:rowOff>190500</xdr:rowOff>
                  </from>
                  <to>
                    <xdr:col>0</xdr:col>
                    <xdr:colOff>695325</xdr:colOff>
                    <xdr:row>39</xdr:row>
                    <xdr:rowOff>66675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0</xdr:col>
                    <xdr:colOff>419100</xdr:colOff>
                    <xdr:row>31</xdr:row>
                    <xdr:rowOff>180975</xdr:rowOff>
                  </from>
                  <to>
                    <xdr:col>0</xdr:col>
                    <xdr:colOff>695325</xdr:colOff>
                    <xdr:row>33</xdr:row>
                    <xdr:rowOff>47625</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0</xdr:col>
                    <xdr:colOff>419100</xdr:colOff>
                    <xdr:row>30</xdr:row>
                    <xdr:rowOff>180975</xdr:rowOff>
                  </from>
                  <to>
                    <xdr:col>0</xdr:col>
                    <xdr:colOff>695325</xdr:colOff>
                    <xdr:row>32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60353F1-9BEA-4E78-838E-41DD93D0A9E2}">
          <x14:formula1>
            <xm:f>Lists!$C$1:$C$3</xm:f>
          </x14:formula1>
          <xm:sqref>C47:E47 C65:E74 C270:E275 C82:E87 C89:E90 C114:E115 C205:E207 C224:E231 C150:E156 C119:E120 C78:E80 C183:E201 C203:E203 C222:E222 C143:E148 C158:E166 C168:E169 C171:E175 C209:E220 C122:E141 C93:E111 C233:E258 C177:E179 C181:E181 C260:E268 C54:E59 C117:E117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98D5C7C3B2B249839A104674107963" ma:contentTypeVersion="8" ma:contentTypeDescription="Create a new document." ma:contentTypeScope="" ma:versionID="59a43823d759cf63f5bcc24017d627fc">
  <xsd:schema xmlns:xsd="http://www.w3.org/2001/XMLSchema" xmlns:xs="http://www.w3.org/2001/XMLSchema" xmlns:p="http://schemas.microsoft.com/office/2006/metadata/properties" xmlns:ns2="8316316d-c7e1-4681-aa1c-16b915ae9361" targetNamespace="http://schemas.microsoft.com/office/2006/metadata/properties" ma:root="true" ma:fieldsID="309ad4e2a76790bf52d2aee669b6b3be" ns2:_="">
    <xsd:import namespace="8316316d-c7e1-4681-aa1c-16b915ae93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16316d-c7e1-4681-aa1c-16b915ae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56CEED-19AF-4BCF-B279-198EEE6B0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16316d-c7e1-4681-aa1c-16b915ae9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79641E-2D16-45F0-A899-012B3F21D1F5}">
  <ds:schemaRefs>
    <ds:schemaRef ds:uri="http://schemas.microsoft.com/sharepoint/v3/contenttype/forms"/>
  </ds:schemaRefs>
</ds:datastoreItem>
</file>

<file path=customXml/itemProps3.xml><?xml version="1.0" encoding="utf-8"?>
<ds:datastoreItem xmlns:ds="http://schemas.openxmlformats.org/officeDocument/2006/customXml" ds:itemID="{A5330AFE-EE77-4D17-BEE5-D03312FE0F78}">
  <ds:schemaRefs>
    <ds:schemaRef ds:uri="http://schemas.openxmlformats.org/package/2006/metadata/core-properties"/>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8316316d-c7e1-4681-aa1c-16b915ae936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Lists</vt:lpstr>
      <vt:lpstr>Confidentiality</vt:lpstr>
      <vt:lpstr>Change Log</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2025-05-30T15:35:30Z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0x0101001C98D5C7C3B2B249839A104674107963</vt:lpwstr>
  </property>
  <property fmtid="{D5CDD505-2E9C-101B-9397-08002B2CF9AE}" pid="10" name="_ExtendedDescription">
    <vt:lpwstr/>
  </property>
</Properties>
</file>