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codeName="ThisWorkbook"/>
  <xr:revisionPtr revIDLastSave="0" documentId="13_ncr:1_{4ABDC107-FE58-4952-BD92-3B541826D3AD}" xr6:coauthVersionLast="47" xr6:coauthVersionMax="47" xr10:uidLastSave="{00000000-0000-0000-0000-000000000000}"/>
  <bookViews>
    <workbookView xWindow="28680" yWindow="-120" windowWidth="29040" windowHeight="15720" firstSheet="1" activeTab="1" xr2:uid="{00000000-000D-0000-FFFF-FFFF00000000}"/>
  </bookViews>
  <sheets>
    <sheet name="Lists" sheetId="5" state="hidden" r:id="rId1"/>
    <sheet name="Confidentiality" sheetId="6" r:id="rId2"/>
    <sheet name="Change Log" sheetId="8" r:id="rId3"/>
    <sheet name="Questions" sheetId="1" r:id="rId4"/>
  </sheets>
  <definedNames>
    <definedName name="_xlnm._FilterDatabase" localSheetId="3" hidden="1">Questions!$A$1:$FT$277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6" i="1" l="1"/>
  <c r="G106" i="1"/>
  <c r="G265" i="1"/>
  <c r="G209" i="1"/>
  <c r="G247" i="1"/>
  <c r="G110" i="1"/>
  <c r="G264" i="1"/>
  <c r="G122" i="1"/>
  <c r="G72" i="1"/>
  <c r="G71" i="1"/>
  <c r="L277" i="1"/>
  <c r="L276" i="1" s="1"/>
  <c r="L275" i="1"/>
  <c r="L274" i="1"/>
  <c r="L273" i="1"/>
  <c r="L272" i="1"/>
  <c r="L271" i="1"/>
  <c r="L270" i="1"/>
  <c r="L269" i="1"/>
  <c r="L268" i="1"/>
  <c r="L267" i="1"/>
  <c r="L266" i="1"/>
  <c r="L265" i="1"/>
  <c r="L264" i="1"/>
  <c r="L263" i="1"/>
  <c r="L262" i="1"/>
  <c r="L261" i="1"/>
  <c r="L260"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1" i="1"/>
  <c r="L230" i="1"/>
  <c r="L229" i="1"/>
  <c r="L228" i="1"/>
  <c r="L227" i="1"/>
  <c r="L226" i="1"/>
  <c r="L225" i="1"/>
  <c r="L224" i="1"/>
  <c r="L223" i="1"/>
  <c r="L222" i="1"/>
  <c r="L220" i="1"/>
  <c r="L219" i="1"/>
  <c r="L218" i="1"/>
  <c r="L217" i="1"/>
  <c r="L216" i="1"/>
  <c r="L215" i="1"/>
  <c r="L214" i="1"/>
  <c r="L213" i="1"/>
  <c r="L212" i="1"/>
  <c r="L211" i="1"/>
  <c r="L210" i="1"/>
  <c r="L209"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1" i="1"/>
  <c r="L180" i="1"/>
  <c r="L179" i="1"/>
  <c r="L178" i="1"/>
  <c r="L177" i="1"/>
  <c r="L176" i="1"/>
  <c r="L175" i="1"/>
  <c r="L174" i="1"/>
  <c r="L173" i="1"/>
  <c r="L172" i="1"/>
  <c r="L171" i="1"/>
  <c r="L170" i="1"/>
  <c r="L169" i="1"/>
  <c r="L168" i="1"/>
  <c r="L167" i="1"/>
  <c r="L166" i="1"/>
  <c r="L165" i="1"/>
  <c r="L164" i="1"/>
  <c r="L163" i="1"/>
  <c r="L162" i="1"/>
  <c r="L161" i="1"/>
  <c r="L160" i="1"/>
  <c r="L159" i="1"/>
  <c r="L158" i="1"/>
  <c r="L156" i="1"/>
  <c r="L155" i="1"/>
  <c r="L154" i="1"/>
  <c r="L153" i="1"/>
  <c r="L152" i="1"/>
  <c r="L151" i="1"/>
  <c r="L150" i="1"/>
  <c r="L149" i="1"/>
  <c r="L148" i="1"/>
  <c r="L147" i="1"/>
  <c r="L146" i="1"/>
  <c r="L145" i="1"/>
  <c r="L144" i="1"/>
  <c r="L143" i="1"/>
  <c r="L141" i="1"/>
  <c r="L140" i="1"/>
  <c r="L139" i="1"/>
  <c r="L138" i="1"/>
  <c r="L137" i="1"/>
  <c r="L136" i="1"/>
  <c r="L135" i="1"/>
  <c r="L134" i="1"/>
  <c r="L133" i="1"/>
  <c r="L132" i="1"/>
  <c r="L131" i="1"/>
  <c r="L130" i="1"/>
  <c r="L129" i="1"/>
  <c r="L128" i="1"/>
  <c r="L127" i="1"/>
  <c r="L126" i="1"/>
  <c r="L125" i="1"/>
  <c r="L124" i="1"/>
  <c r="L123" i="1"/>
  <c r="L122" i="1"/>
  <c r="L120" i="1"/>
  <c r="L119" i="1"/>
  <c r="L118" i="1"/>
  <c r="L117" i="1"/>
  <c r="L116" i="1"/>
  <c r="L115" i="1"/>
  <c r="L114" i="1"/>
  <c r="L113" i="1"/>
  <c r="L112" i="1"/>
  <c r="L111" i="1"/>
  <c r="L110" i="1"/>
  <c r="L109" i="1"/>
  <c r="L108" i="1"/>
  <c r="L107" i="1"/>
  <c r="L105" i="1"/>
  <c r="L104" i="1"/>
  <c r="L103" i="1"/>
  <c r="L102" i="1"/>
  <c r="L101" i="1"/>
  <c r="L100" i="1"/>
  <c r="L99" i="1"/>
  <c r="L98" i="1"/>
  <c r="L97" i="1"/>
  <c r="L96" i="1"/>
  <c r="L95" i="1"/>
  <c r="L94" i="1"/>
  <c r="L93" i="1"/>
  <c r="L92" i="1"/>
  <c r="L91" i="1"/>
  <c r="L89" i="1"/>
  <c r="L88" i="1"/>
  <c r="L87" i="1"/>
  <c r="L86" i="1"/>
  <c r="L85" i="1"/>
  <c r="L84" i="1"/>
  <c r="L83" i="1"/>
  <c r="L82" i="1"/>
  <c r="L81" i="1"/>
  <c r="L80" i="1"/>
  <c r="L79" i="1"/>
  <c r="L78" i="1"/>
  <c r="L77" i="1"/>
  <c r="L75" i="1"/>
  <c r="L74" i="1"/>
  <c r="L73" i="1"/>
  <c r="L72" i="1"/>
  <c r="L71" i="1"/>
  <c r="L70" i="1"/>
  <c r="L69" i="1"/>
  <c r="L68" i="1"/>
  <c r="L67" i="1"/>
  <c r="L66" i="1"/>
  <c r="L65" i="1"/>
  <c r="L64" i="1"/>
  <c r="L63" i="1"/>
  <c r="L62" i="1"/>
  <c r="L61" i="1"/>
  <c r="L59" i="1"/>
  <c r="L58" i="1"/>
  <c r="L57" i="1"/>
  <c r="L56" i="1"/>
  <c r="L55" i="1"/>
  <c r="L54" i="1"/>
  <c r="L53" i="1"/>
  <c r="L52" i="1"/>
  <c r="L51" i="1"/>
  <c r="L50" i="1"/>
  <c r="L49" i="1"/>
  <c r="L48" i="1"/>
  <c r="L47" i="1"/>
  <c r="L46" i="1"/>
  <c r="L45" i="1"/>
  <c r="G262" i="1"/>
  <c r="G275" i="1"/>
  <c r="G150" i="1"/>
  <c r="G138" i="1"/>
  <c r="G136" i="1"/>
  <c r="L90" i="1" l="1"/>
  <c r="L142" i="1"/>
  <c r="L76" i="1"/>
  <c r="L60" i="1"/>
  <c r="L221" i="1"/>
  <c r="L121" i="1"/>
  <c r="L208" i="1"/>
  <c r="L44" i="1"/>
  <c r="L182" i="1"/>
  <c r="L157" i="1"/>
  <c r="L232" i="1"/>
  <c r="L259" i="1"/>
  <c r="G159" i="1"/>
  <c r="L5" i="1" l="1"/>
  <c r="G78" i="1"/>
  <c r="G77" i="1" l="1"/>
  <c r="G251" i="1" l="1"/>
  <c r="G228" i="1"/>
  <c r="G135" i="1"/>
  <c r="G120" i="1"/>
  <c r="G98" i="1"/>
  <c r="G97" i="1"/>
  <c r="G260" i="1"/>
  <c r="G189" i="1"/>
  <c r="G130" i="1"/>
  <c r="G94" i="1"/>
  <c r="G68" i="1"/>
  <c r="G67" i="1"/>
  <c r="G66" i="1"/>
  <c r="G65" i="1"/>
  <c r="G64" i="1"/>
  <c r="G57" i="1"/>
  <c r="G52" i="1"/>
  <c r="G114" i="1" l="1"/>
  <c r="G137" i="1" l="1"/>
  <c r="G134" i="1"/>
  <c r="G126" i="1"/>
  <c r="G273" i="1" l="1"/>
  <c r="G272" i="1"/>
  <c r="G271" i="1"/>
  <c r="G270" i="1"/>
  <c r="G268" i="1"/>
  <c r="G267" i="1"/>
  <c r="G261" i="1"/>
  <c r="G258" i="1"/>
  <c r="G257" i="1"/>
  <c r="G256" i="1"/>
  <c r="G255" i="1"/>
  <c r="G254" i="1"/>
  <c r="G253" i="1"/>
  <c r="G250" i="1"/>
  <c r="G249" i="1"/>
  <c r="G248" i="1"/>
  <c r="G245" i="1"/>
  <c r="G241" i="1"/>
  <c r="G236" i="1"/>
  <c r="G235" i="1"/>
  <c r="G234" i="1"/>
  <c r="G233" i="1"/>
  <c r="G231" i="1"/>
  <c r="G230" i="1"/>
  <c r="G229" i="1"/>
  <c r="G227" i="1"/>
  <c r="G226" i="1"/>
  <c r="G225" i="1"/>
  <c r="G224" i="1"/>
  <c r="G219" i="1"/>
  <c r="G213" i="1"/>
  <c r="G205" i="1"/>
  <c r="G203" i="1"/>
  <c r="G201" i="1"/>
  <c r="G199" i="1"/>
  <c r="G198" i="1"/>
  <c r="G197" i="1"/>
  <c r="G195" i="1"/>
  <c r="G194" i="1"/>
  <c r="G193" i="1"/>
  <c r="G192" i="1"/>
  <c r="G190" i="1"/>
  <c r="G186" i="1"/>
  <c r="G185" i="1"/>
  <c r="G183" i="1"/>
  <c r="G173" i="1"/>
  <c r="G171" i="1"/>
  <c r="G169" i="1"/>
  <c r="G168" i="1"/>
  <c r="G166" i="1"/>
  <c r="G165" i="1"/>
  <c r="G164" i="1"/>
  <c r="G162" i="1"/>
  <c r="G160" i="1"/>
  <c r="G158" i="1"/>
  <c r="G156" i="1"/>
  <c r="G155" i="1"/>
  <c r="G154" i="1"/>
  <c r="G153" i="1"/>
  <c r="G152" i="1"/>
  <c r="G151" i="1"/>
  <c r="G148" i="1"/>
  <c r="G147" i="1"/>
  <c r="G144" i="1"/>
  <c r="G143" i="1"/>
  <c r="G140" i="1"/>
  <c r="G139" i="1"/>
  <c r="G133" i="1"/>
  <c r="G128" i="1"/>
  <c r="G127" i="1"/>
  <c r="G125" i="1"/>
  <c r="G124" i="1"/>
  <c r="G123" i="1"/>
  <c r="G119" i="1"/>
  <c r="G117" i="1"/>
  <c r="G116" i="1"/>
  <c r="G113" i="1"/>
  <c r="G109" i="1"/>
  <c r="G108" i="1"/>
  <c r="G107" i="1"/>
  <c r="G104" i="1"/>
  <c r="G103" i="1"/>
  <c r="G102" i="1"/>
  <c r="G101" i="1"/>
  <c r="G99" i="1"/>
  <c r="G93" i="1"/>
  <c r="G92" i="1"/>
  <c r="G89" i="1"/>
  <c r="G88" i="1"/>
  <c r="G85" i="1"/>
  <c r="G70" i="1"/>
  <c r="G58" i="1"/>
  <c r="G53" i="1"/>
</calcChain>
</file>

<file path=xl/sharedStrings.xml><?xml version="1.0" encoding="utf-8"?>
<sst xmlns="http://schemas.openxmlformats.org/spreadsheetml/2006/main" count="795" uniqueCount="677">
  <si>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</si>
  <si>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</si>
  <si>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</si>
  <si>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</si>
  <si>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</si>
  <si>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</si>
  <si>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</si>
  <si>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</si>
  <si>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</si>
  <si>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</si>
  <si>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</si>
  <si>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</si>
  <si>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</si>
  <si>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</si>
  <si>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</si>
  <si>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</si>
  <si>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</si>
  <si>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Additional Information</t>
  </si>
  <si>
    <t>Guidance</t>
  </si>
  <si>
    <t>Company Overview</t>
  </si>
  <si>
    <t>Describe your organization’s business background and ownership structure, including all parent and subsidiary relationships.</t>
  </si>
  <si>
    <t>Include circumstances that may involve off-shoring or multi-national agreements.</t>
  </si>
  <si>
    <t>COMP-02</t>
  </si>
  <si>
    <t>Describe how long your organization has conducted business in this product area.</t>
  </si>
  <si>
    <t>Include the number of years and in what capacity.</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</si>
  <si>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</si>
  <si>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</si>
  <si>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</si>
  <si>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</si>
  <si>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</si>
  <si>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</si>
  <si>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</si>
  <si>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</si>
  <si>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</si>
  <si>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</si>
  <si>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</si>
  <si>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</si>
  <si>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</si>
  <si>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</si>
  <si>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</si>
  <si>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</si>
  <si>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</si>
  <si>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</si>
  <si>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</si>
  <si>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</si>
  <si>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</si>
  <si>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</si>
  <si>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</si>
  <si>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</si>
  <si>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</si>
  <si>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</si>
  <si>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</si>
  <si>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</si>
  <si>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</si>
  <si>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</si>
  <si>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</si>
  <si>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</si>
  <si>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</si>
  <si>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</si>
  <si>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</si>
  <si>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</si>
  <si>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</si>
  <si>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</si>
  <si>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</si>
  <si>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</si>
  <si>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</si>
  <si>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</si>
  <si>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</si>
  <si>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</si>
  <si>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</si>
  <si>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</si>
  <si>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</si>
  <si>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</si>
  <si>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</si>
  <si>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</si>
  <si>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</si>
  <si>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</si>
  <si>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</si>
  <si>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</si>
  <si>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</si>
  <si>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</si>
  <si>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</si>
  <si>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</si>
  <si>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</si>
  <si>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</si>
  <si>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</si>
  <si>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</si>
  <si>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</si>
  <si>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</si>
  <si>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VULN-05</t>
  </si>
  <si>
    <t>VULN-06</t>
  </si>
  <si>
    <t>VULN-07</t>
  </si>
  <si>
    <t>VULN-08</t>
  </si>
  <si>
    <t>Do you have existing energy sector customers?</t>
  </si>
  <si>
    <t xml:space="preserve">Describe or provide a reference to the tool(s) used to scan for vulnerabilities in your applications and systems. </t>
  </si>
  <si>
    <t>Personally Identifiable Information (PII)</t>
  </si>
  <si>
    <t>Credit Card Data/PCI</t>
  </si>
  <si>
    <t xml:space="preserve">Payroll Records </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</si>
  <si>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</si>
  <si>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</si>
  <si>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</si>
  <si>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</si>
  <si>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</si>
  <si>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</si>
  <si>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</si>
  <si>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Does your organization have a data privacy policy that applies to your computing systems?</t>
  </si>
  <si>
    <t>Can employees associated with the computing system access customer data/systems remotely?</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</si>
  <si>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</si>
  <si>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</si>
  <si>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</si>
  <si>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</si>
  <si>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</si>
  <si>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</si>
  <si>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</si>
  <si>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</si>
  <si>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</si>
  <si>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</si>
  <si>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</si>
  <si>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</si>
  <si>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</si>
  <si>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</si>
  <si>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</si>
  <si>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</si>
  <si>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</si>
  <si>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</si>
  <si>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</si>
  <si>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</si>
  <si>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</si>
  <si>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</si>
  <si>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</si>
  <si>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</si>
  <si>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</si>
  <si>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</si>
  <si>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Describe your authentication and authorization processes.</t>
  </si>
  <si>
    <t>Are structured databases encrypted?</t>
  </si>
  <si>
    <t>Additional Comments</t>
  </si>
  <si>
    <t>AC-1</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</si>
  <si>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</si>
  <si>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</si>
  <si>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</si>
  <si>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</si>
  <si>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</si>
  <si>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</si>
  <si>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</si>
  <si>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</si>
  <si>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</si>
  <si>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</si>
  <si>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</si>
  <si>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</si>
  <si>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</si>
  <si>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</si>
  <si>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</si>
  <si>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</si>
  <si>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</si>
  <si>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</si>
  <si>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</si>
  <si>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</si>
  <si>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</si>
  <si>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</si>
  <si>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</si>
  <si>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</si>
  <si>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</si>
  <si>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</si>
  <si>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</si>
  <si>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</si>
  <si>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</si>
  <si>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</si>
  <si>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</si>
  <si>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</si>
  <si>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</si>
  <si>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</si>
  <si>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</si>
  <si>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</si>
  <si>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</si>
  <si>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</si>
  <si>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</si>
  <si>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</si>
  <si>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</si>
  <si>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</si>
  <si>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</si>
  <si>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</si>
  <si>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</si>
  <si>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</si>
  <si>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</si>
  <si>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</si>
  <si>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</si>
  <si>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</si>
  <si>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</si>
  <si>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</si>
  <si>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</si>
  <si>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</si>
  <si>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</si>
  <si>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</si>
  <si>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</si>
  <si>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</si>
  <si>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</si>
  <si>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</si>
  <si>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</si>
  <si>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</si>
  <si>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</si>
  <si>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</si>
  <si>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</si>
  <si>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</si>
  <si>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</si>
  <si>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</si>
  <si>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</si>
  <si>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</si>
  <si>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</si>
  <si>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</si>
  <si>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</si>
  <si>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</si>
  <si>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</si>
  <si>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</si>
  <si>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</si>
  <si>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</si>
  <si>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</si>
  <si>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</si>
  <si>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</si>
  <si>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</si>
  <si>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</si>
  <si>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</si>
  <si>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</si>
  <si>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</si>
  <si>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</si>
  <si>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</si>
  <si>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</si>
  <si>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</si>
  <si>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</si>
  <si>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</si>
  <si>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</si>
  <si>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</si>
  <si>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</si>
  <si>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</si>
  <si>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</si>
  <si>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</si>
  <si>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</si>
  <si>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</si>
  <si>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</si>
  <si>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</si>
  <si>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</si>
  <si>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</si>
  <si>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</si>
  <si>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</si>
  <si>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</si>
  <si>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</si>
  <si>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</si>
  <si>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</si>
  <si>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</si>
  <si>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</si>
  <si>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</si>
  <si>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</si>
  <si>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</si>
  <si>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</si>
  <si>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</si>
  <si>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RISK-15</t>
  </si>
  <si>
    <t>Share any details that would help information security analysts assess your product/services.</t>
  </si>
  <si>
    <t>Please include failover and disaster recovery sites.</t>
  </si>
  <si>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</si>
  <si>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</si>
  <si>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</si>
  <si>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</si>
  <si>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</si>
  <si>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</si>
  <si>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</si>
  <si>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</si>
  <si>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</si>
  <si>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</si>
  <si>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</si>
  <si>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</si>
  <si>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</si>
  <si>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</si>
  <si>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</si>
  <si>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</si>
  <si>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</si>
  <si>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</si>
  <si>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</si>
  <si>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</si>
  <si>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</si>
  <si>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</si>
  <si>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</si>
  <si>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</si>
  <si>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</si>
  <si>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</si>
  <si>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</si>
  <si>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</si>
  <si>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</si>
  <si>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</si>
  <si>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</si>
  <si>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</si>
  <si>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</si>
  <si>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IAM-25</t>
  </si>
  <si>
    <t>IAM-26</t>
  </si>
  <si>
    <t>IAM-27</t>
  </si>
  <si>
    <t>RISK-20</t>
  </si>
  <si>
    <t>Do you provide inspection process documents for the utility to receive equipment?</t>
  </si>
  <si>
    <t>COMP-08</t>
  </si>
  <si>
    <t>Do you have a process in place to notify utility customers of any mergers and acquisitions as soon as legally permissible?</t>
  </si>
  <si>
    <t>EIR-05</t>
  </si>
  <si>
    <t>EIR-06</t>
  </si>
  <si>
    <t>EIR-04</t>
  </si>
  <si>
    <t>EIR-07</t>
  </si>
  <si>
    <t>EIR-08</t>
  </si>
  <si>
    <t>EIR-09</t>
  </si>
  <si>
    <t>RISK-21</t>
  </si>
  <si>
    <t>THRD-13</t>
  </si>
  <si>
    <t>Does your information protection program include safeguards and notifications regarding the release of data to third parties?</t>
  </si>
  <si>
    <t>DATA-19</t>
  </si>
  <si>
    <t>DATA-20</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</si>
  <si>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</si>
  <si>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</si>
  <si>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</si>
  <si>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</si>
  <si>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</si>
  <si>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</si>
  <si>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</si>
  <si>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</si>
  <si>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</si>
  <si>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</si>
  <si>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CSPM-19</t>
  </si>
  <si>
    <t>CHNG-14</t>
  </si>
  <si>
    <t>Do you provide a specific list of, and justifications for, required logical ports (which may include limited ranges) and services required for its deliverables (either products or services)?</t>
  </si>
  <si>
    <t>VULN-16</t>
  </si>
  <si>
    <t>Please summarize the technical controls in "Additional Information."</t>
  </si>
  <si>
    <t>VULN-17</t>
  </si>
  <si>
    <t>VULN-18</t>
  </si>
  <si>
    <t>IAM-28</t>
  </si>
  <si>
    <t>RISK-25</t>
  </si>
  <si>
    <t>THRD-15</t>
  </si>
  <si>
    <t>Do you require your applicable third parties to have a designated privacy function responsible for its privacy policy and program as it relates to Privacy Data?</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</si>
  <si>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</si>
  <si>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</si>
  <si>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</si>
  <si>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</si>
  <si>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</si>
  <si>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</si>
  <si>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</si>
  <si>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</si>
  <si>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</si>
  <si>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</si>
  <si>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</si>
  <si>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</si>
  <si>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</si>
  <si>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</si>
  <si>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</si>
  <si>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</si>
  <si>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</si>
  <si>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</si>
  <si>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</si>
  <si>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</si>
  <si>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</si>
  <si>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Do you conduct an annual review of all individuals' access to the utility's assets, systems, networks, information, and facilities for which you provision and deprovision access?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</si>
  <si>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</si>
  <si>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</si>
  <si>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</si>
  <si>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</si>
  <si>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</si>
  <si>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RISK-27</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</si>
  <si>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</si>
  <si>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</si>
  <si>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</si>
  <si>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</si>
  <si>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</si>
  <si>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</si>
  <si>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</si>
  <si>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</si>
  <si>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</si>
  <si>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</si>
  <si>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</si>
  <si>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</si>
  <si>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</si>
  <si>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</si>
  <si>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</si>
  <si>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</si>
  <si>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</si>
  <si>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</si>
  <si>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</si>
  <si>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</si>
  <si>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</si>
  <si>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</si>
  <si>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</si>
  <si>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</si>
  <si>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</si>
  <si>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</si>
  <si>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</si>
  <si>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</si>
  <si>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</si>
  <si>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</si>
  <si>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</si>
  <si>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</si>
  <si>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</si>
  <si>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COMP-13</t>
  </si>
  <si>
    <t>COMP-14</t>
  </si>
  <si>
    <t>COMP-15</t>
  </si>
  <si>
    <t>Supports (39)</t>
  </si>
  <si>
    <t>Supports (39, 45)</t>
  </si>
  <si>
    <t>Primary (2)</t>
  </si>
  <si>
    <t>Supports (48)</t>
  </si>
  <si>
    <t>Supports (49, 58)</t>
  </si>
  <si>
    <t xml:space="preserve">Primary (59)
Supports (20)
</t>
  </si>
  <si>
    <t>Primary (48)</t>
  </si>
  <si>
    <t>Primary (23)</t>
  </si>
  <si>
    <t>Supports (23, 59)</t>
  </si>
  <si>
    <t>Primary (39)</t>
  </si>
  <si>
    <t>Supports (55)</t>
  </si>
  <si>
    <t>Supports (4)</t>
  </si>
  <si>
    <t>Primary (3)</t>
  </si>
  <si>
    <t>Please describe your staff offboarding procedures, including the timeframe for termination of system and physical access. Please also indicate your process, including the timeframe, for notifying customers of termination of personnel or cases in which personnel will no longer need physical or logical access the  utility's sites or systems.</t>
  </si>
  <si>
    <t xml:space="preserve"> Represents 13</t>
  </si>
  <si>
    <t xml:space="preserve">Primary (13)
Supports (8, 10, 11)
</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</si>
  <si>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</si>
  <si>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</si>
  <si>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</si>
  <si>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</si>
  <si>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</si>
  <si>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</si>
  <si>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</si>
  <si>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</si>
  <si>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</si>
  <si>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</si>
  <si>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</si>
  <si>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</si>
  <si>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</si>
  <si>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</si>
  <si>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</si>
  <si>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</si>
  <si>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</si>
  <si>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</si>
  <si>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</si>
  <si>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</si>
  <si>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</si>
  <si>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</si>
  <si>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</si>
  <si>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</si>
  <si>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</si>
  <si>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</si>
  <si>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</si>
  <si>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</si>
  <si>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</si>
  <si>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</si>
  <si>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Primary (52)
Supporting (44, 52)</t>
  </si>
  <si>
    <t>Supports (53, 54)</t>
  </si>
  <si>
    <t>Primary (50)</t>
  </si>
  <si>
    <t>Primary (56)</t>
  </si>
  <si>
    <t>Supports (44)</t>
  </si>
  <si>
    <t>Supports (2)</t>
  </si>
  <si>
    <t>Supports (1)</t>
  </si>
  <si>
    <t>Primary (18)</t>
  </si>
  <si>
    <t>Primary (44)</t>
  </si>
  <si>
    <t>Primary (42)</t>
  </si>
  <si>
    <t>Supports (18)</t>
  </si>
  <si>
    <t>Supports (42)</t>
  </si>
  <si>
    <t>Primary (38)</t>
  </si>
  <si>
    <t>Primary (41)</t>
  </si>
  <si>
    <t>Primary (43)</t>
  </si>
  <si>
    <t>Primary (45)</t>
  </si>
  <si>
    <t>Primary (52)</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</si>
  <si>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</si>
  <si>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</si>
  <si>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</si>
  <si>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</si>
  <si>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</si>
  <si>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</si>
  <si>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</si>
  <si>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</si>
  <si>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</si>
  <si>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Primary (26, 31)</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</si>
  <si>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</si>
  <si>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</si>
  <si>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</si>
  <si>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</si>
  <si>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</si>
  <si>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</si>
  <si>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</si>
  <si>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</si>
  <si>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</si>
  <si>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</si>
  <si>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</si>
  <si>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</si>
  <si>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</si>
  <si>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</si>
  <si>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</si>
  <si>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</si>
  <si>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</si>
  <si>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</si>
  <si>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</si>
  <si>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</si>
  <si>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</si>
  <si>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</si>
  <si>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</si>
  <si>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</si>
  <si>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</si>
  <si>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</si>
  <si>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</si>
  <si>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</si>
  <si>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</si>
  <si>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</si>
  <si>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Are there any OS (e.g., servers, PCs, switches, routers, etc.) that are not currently supported?</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</si>
  <si>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</si>
  <si>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</si>
  <si>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</si>
  <si>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</si>
  <si>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</si>
  <si>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</si>
  <si>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</si>
  <si>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</si>
  <si>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</si>
  <si>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</si>
  <si>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</si>
  <si>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</si>
  <si>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</si>
  <si>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</si>
  <si>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</si>
  <si>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</si>
  <si>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</si>
  <si>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</si>
  <si>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Does your computing system support role-based access control (RBAC) for end-users? (Depending on type of computing system, this may be your users internally, or potentially client users of your product.)</t>
  </si>
  <si>
    <t>Does your computing system support role-based access control (RBAC) for system administrators? (Depending on type of computing system, this may be your users internally, or potentially client users of your product.)</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</si>
  <si>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</si>
  <si>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</si>
  <si>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</si>
  <si>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</si>
  <si>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</si>
  <si>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</si>
  <si>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</si>
  <si>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</si>
  <si>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</si>
  <si>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</si>
  <si>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</si>
  <si>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</si>
  <si>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</si>
  <si>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</si>
  <si>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</si>
  <si>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</si>
  <si>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</si>
  <si>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</si>
  <si>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</si>
  <si>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</si>
  <si>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</si>
  <si>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</si>
  <si>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</si>
  <si>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</si>
  <si>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</si>
  <si>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List all locations (countries) where the utility's data will be stored.</t>
  </si>
  <si>
    <t>Will any utility data be stored in the cloud?</t>
  </si>
  <si>
    <t>Are you performing off site backups (i.e., digitally/physically moved off site)?</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</si>
  <si>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</si>
  <si>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</si>
  <si>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</si>
  <si>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</si>
  <si>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the ability to send automated notifications of and respond to software, patches, and firmware integrity violations?</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</si>
  <si>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</si>
  <si>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</si>
  <si>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Are employees allowed to take utility's data out of the computing system in any form?</t>
  </si>
  <si>
    <r>
      <t>Are there any web browsers that are not currently supported?</t>
    </r>
    <r>
      <rPr>
        <u/>
        <sz val="11"/>
        <color theme="1"/>
        <rFont val="Verdana"/>
        <family val="2"/>
      </rPr>
      <t xml:space="preserve"> </t>
    </r>
  </si>
  <si>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</si>
  <si>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</si>
  <si>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GNRL-01 through GNRL-20; populated by the supplier</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</si>
  <si>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</si>
  <si>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</si>
  <si>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</si>
  <si>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</si>
  <si>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</si>
  <si>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</si>
  <si>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</si>
  <si>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</si>
  <si>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</si>
  <si>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</si>
  <si>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</si>
  <si>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</si>
  <si>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</si>
  <si>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</si>
  <si>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</si>
  <si>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</si>
  <si>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</si>
  <si>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Supplier Corporate Systems</t>
  </si>
  <si>
    <t>Supplier Product</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</si>
  <si>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</si>
  <si>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</si>
  <si>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</si>
  <si>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</si>
  <si>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</si>
  <si>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</si>
  <si>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</si>
  <si>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</si>
  <si>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</si>
  <si>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</si>
  <si>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WFM-01.1</t>
  </si>
  <si>
    <t>Do you perform recurring background checks for personnel on a periodic basis after initial hire date?</t>
  </si>
  <si>
    <t>Revision Notes</t>
  </si>
  <si>
    <t xml:space="preserve">Other – Please explain:  </t>
  </si>
  <si>
    <t>Document ID:  1394</t>
  </si>
  <si>
    <t>Initial version posted</t>
  </si>
  <si>
    <t>Corrected cell name for reference  in G113 and G114</t>
  </si>
  <si>
    <t>Bulk Electric System (BES) Cyber System Information (BCSI)</t>
  </si>
  <si>
    <t>62, 63</t>
  </si>
  <si>
    <t>Critical Energy Infrastructure Information (CEII) (Defined term at https://www.ferc.gov/enforcement-legal/ceii)</t>
  </si>
  <si>
    <t>Do you monitor for intrusions on a 24x7x365 basis with 24x7 response and evaluation?</t>
  </si>
  <si>
    <t>DATA-26</t>
  </si>
  <si>
    <t xml:space="preserve">
Supports (44, 45)</t>
  </si>
  <si>
    <t>CSPM-20</t>
  </si>
  <si>
    <t>Identify Types of Information Provided by Utility; populated by the Supplier</t>
  </si>
  <si>
    <t xml:space="preserve">Have you implemented security controls for the use of devices that access entity's utility's system (e.g., mobile, laptop, non-company devices)? </t>
  </si>
  <si>
    <t>Do you maintain an asset management program that requires an inventory of IT and OT hardware, software, information assets (e.g., databases)?</t>
  </si>
  <si>
    <t>Purchaser Account Information</t>
  </si>
  <si>
    <t>Do you have a process by which you will notify purchaser when production and/or operation of products and/or services changes to another supplier or location?</t>
  </si>
  <si>
    <t>Does your personnel vetting process allow you to share background check criteria and results with utility for confirmation of process or verification of sampled employees?</t>
  </si>
  <si>
    <t>For access within supplier's system functioning as a BCSI repository for utility data, has supplier implemented procedures to revoke access within 24 hours when any individual no longer requires access due to change in employment status or job duties?</t>
  </si>
  <si>
    <t xml:space="preserve">Do you require employees to have a completed agreement and review information security policies including, but not limited to, an Acceptable Use policy or equivalent?  </t>
  </si>
  <si>
    <t>Is security awareness and privacy training mandatory for all employees at least annually?</t>
  </si>
  <si>
    <t>Do you maintain a list of all individuals with access to your assets, systems, networks, information, and/or facilities including an access log of each sign in/out?</t>
  </si>
  <si>
    <t>Do you maintain an access list of all individuals with access to utility's assets, information and facilities?</t>
  </si>
  <si>
    <t>If remote access is needed into the utility's systems, do you have an implemented process to obtain authorization from entity prior to initializing each remote access session?</t>
  </si>
  <si>
    <t>Do you have a business continuity plan (BCP) to support ongoing operations of your systems and scope of equipment and/or services provided to the utility?</t>
  </si>
  <si>
    <t>Is media used for long-term retention of purchaser's business data and archival purposes stored in a secure, environmentally protected area?</t>
  </si>
  <si>
    <t>Does the process described in CSTA-06 adhere to DoD 5220.22-M and/or NIST SP 800-88 standards?</t>
  </si>
  <si>
    <t>Does your information protection program prohibit access to purchaser's data without authorization?</t>
  </si>
  <si>
    <t>Do you have a process to notify purchasers of any supplier-identified cyber or physical security incidents related to your products or services that could pose risk to the utility?</t>
  </si>
  <si>
    <t>Do you have a process through which you recommend actions to be taken by you and/or purchaser on a purchaser-controlled system to reduce the risk of recurrence of the same or similar security incident, including, as appropriate, the provision of action plans and mitigating controls?</t>
  </si>
  <si>
    <t>Do you have a means by which purchaser can verify the source of software, firmware, patch, and data downloads is authentic?</t>
  </si>
  <si>
    <t>Do you establish and maintain a security program for the product(s) or service(s) being purchased, including implemented processes to verify the integrity and authenticity of the software, patches, and firmware relevant to the product(s) or service(s) being delivered to the utility?</t>
  </si>
  <si>
    <t>Do you have a process or program through which you notify purchasers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</si>
  <si>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Do you have secure system hardening guidelines and procedures for products developed or provided by you to purchaser?</t>
  </si>
  <si>
    <t>Have your systems undergone penetration testing (internal or by third party)?</t>
  </si>
  <si>
    <t>Is utility unstructured data (e.g., file shares) encrypted?</t>
  </si>
  <si>
    <t>Answer</t>
  </si>
  <si>
    <t>Weight</t>
  </si>
  <si>
    <t>Score</t>
  </si>
  <si>
    <t>Total Score</t>
  </si>
  <si>
    <t>Category Score</t>
  </si>
  <si>
    <t>Copyright © 2023 North American Transmission Forum (“NATF”).  All rights reserved.</t>
  </si>
  <si>
    <t>Historical versions are available at www.natf.net/industry-initiatives/supply-chain-industry-coordination.</t>
  </si>
  <si>
    <t>Annual revision for 2021</t>
  </si>
  <si>
    <t>Annual revision for 2022</t>
  </si>
  <si>
    <t>Annual revision for 2023</t>
  </si>
  <si>
    <t>Redline versions are available at www.natf.net/industry-initiatives/supply-chain-industry-coordination.</t>
  </si>
  <si>
    <t>Change Log</t>
  </si>
  <si>
    <t>Do you have cybersecurity risk insurance?
If yes, please provide coverage amounts.</t>
  </si>
  <si>
    <t xml:space="preserve">Provide the findings reports from third-party verifications conducted for cybersecurity frameworks (provide the two most recent reports for each cybersecurity framework). </t>
  </si>
  <si>
    <t>Corrected various typos.
Added additional information to General Information section.
Added definition reference for CEII
Added check box and option for BCSI data
Added additional information to Qualifier section
Added clarifying text to QUAL-05
All font in column G for guidance changed to blue
Added new question WFM-01.1 for recurring background checks
Changed "another provider" to "another supplier" in THRD-09
Removed duplicate questions DATA-06, EIR-11, and RISK-28
Added clarifying text to EIR-12
Formatted cells to allow for text entry for following questions:  COMP-05, COMP-06, COMP-07, IAM-01, IAM-21, IAM-22, IAM-28, CHNG-07, CSTA-10, CSTA-13, CSTA-19, DATA-21, DATA-23, MOBL-02, and AC-1.</t>
  </si>
  <si>
    <t>Controlled Unclassified Information (CUI) (Defined term at https://www.ferc.gov/cui)</t>
  </si>
  <si>
    <t>IAM-16.1</t>
  </si>
  <si>
    <t>Do you have a policy that prohibits the use of shared accounts and/or shared credentials?</t>
  </si>
  <si>
    <t>Number of Contractors In Countries Other than the United States or Canada</t>
  </si>
  <si>
    <t>Open Distribution for Supply Chain Materials</t>
  </si>
  <si>
    <t>The NATF permits the use of the content contained herein (“Content”) without modification; however, any such use must include this notice and reference the associated NATF document name &amp; version number. The Content is provided on an “as is” basis. The NATF and contributors to the development of this document ("Contributors") makes no and hereby disclaims all representations or warranties (express or implied) relating to the Content. The NATF and Contributors shall not be liable for any damages arising directly or indirectly from the Content or use thereof. By using the Content, you hereby agree to defend, indemnify, and hold the NATF and Contributors harmless from and against all claims arising from such use.</t>
  </si>
  <si>
    <t>Version 4.0</t>
  </si>
  <si>
    <t>Energy Sector Supply Chain Risk Questionnaire</t>
  </si>
  <si>
    <r>
      <t xml:space="preserve">Added note to General Information section
Updated use of </t>
    </r>
    <r>
      <rPr>
        <i/>
        <sz val="11"/>
        <rFont val="Calibri"/>
        <family val="2"/>
        <scheme val="minor"/>
      </rPr>
      <t xml:space="preserve">entity, utility, customer, </t>
    </r>
    <r>
      <rPr>
        <sz val="11"/>
        <rFont val="Calibri"/>
        <family val="2"/>
        <scheme val="minor"/>
      </rPr>
      <t>and</t>
    </r>
    <r>
      <rPr>
        <i/>
        <sz val="11"/>
        <rFont val="Calibri"/>
        <family val="2"/>
        <scheme val="minor"/>
      </rPr>
      <t xml:space="preserve"> purchaser</t>
    </r>
    <r>
      <rPr>
        <sz val="11"/>
        <rFont val="Calibri"/>
        <family val="2"/>
        <scheme val="minor"/>
      </rPr>
      <t xml:space="preserve"> throughout as appropriate
Added BCSI to QUAL-01
Removed duplicate question GNRL-13
Mapped COMP-05 ,06, and 07 to criteria 61, 62, and 63, respectively
Added clarifying text to WFM-11 and WFM-12
Removed duplicate question IAM-14 and maintained RISK-13
Added CSPM-20 regarding asset management
Added DATA-26 to address removable media
Added NATF Criteria 20 for RISK-07
Removed RISK-24 and merged with IAM-05
Removed VULN-04 and merged with VULN-18</t>
    </r>
  </si>
  <si>
    <r>
      <t xml:space="preserve">Merged Unformatted, Formatted, and Scorable Option versions into one questionnaire
  -Update document title
  -Removed Qualifier section and associated logic
  -Updated General Information and Instructions to include scoring information
Added link below version history table to historical versions of files
Added new tab for Change Log
Revised General Information section for use of </t>
    </r>
    <r>
      <rPr>
        <i/>
        <sz val="11"/>
        <rFont val="Calibri"/>
        <family val="2"/>
        <scheme val="minor"/>
      </rPr>
      <t xml:space="preserve">data
</t>
    </r>
    <r>
      <rPr>
        <sz val="11"/>
        <rFont val="Calibri"/>
        <family val="2"/>
        <scheme val="minor"/>
      </rPr>
      <t>Added reference to Revision Process in General Information section</t>
    </r>
    <r>
      <rPr>
        <i/>
        <sz val="11"/>
        <rFont val="Calibri"/>
        <family val="2"/>
        <scheme val="minor"/>
      </rPr>
      <t xml:space="preserve">
</t>
    </r>
    <r>
      <rPr>
        <sz val="11"/>
        <rFont val="Calibri"/>
        <family val="2"/>
        <scheme val="minor"/>
      </rPr>
      <t>Added CUI and reference to definition in Information Provided by Utility section
Added reference to Abbreviations and Definitions in Instructions section
Removed specific references to countries in COMP-05, 06, and 07
Mapped IAM-03 to new Supplier Criteria 1.1
Added new question IAM-16.1 for shared accounts and shared credentials
Reworded IAM-13, IAM-20, CSPM-10, RISK-19, RISK-20, VULN-07, and VULN-14 for clarity
Added clarifying text to CSPM-19, CSTA-17, DATA-20, DATA-26, RISK-15
Capitalized defined terms in EIR-01, EIR-02, EIR-04, EIR-07, EIR-08, EIR-09, and EIR-10
Removed duplicative question VULN-09 which is covered in VULN-01</t>
    </r>
  </si>
  <si>
    <r>
      <t xml:space="preserve">Energy Sector Supply Chain Risk Questionnaire
</t>
    </r>
    <r>
      <rPr>
        <b/>
        <sz val="16"/>
        <color theme="0" tint="-0.249977111117893"/>
        <rFont val="Verdana"/>
        <family val="2"/>
      </rPr>
      <t>Open Distribution for Supply Chain Materials
Copyright © 2023 North American Transmission Forum, Inc.</t>
    </r>
  </si>
  <si>
    <t xml:space="preserve">This questionnaire is intended for use by suppliers participating in a third-party security assessment and should be completed by the appropriate supplier's subject matter experts (e.g., cybersecurity, IT).
In order to protect the utility and its systems, suppliers whose products and/or services will access and/or host utility data must complete the Energy Sector Supply Chain Risk Questionnaire. The term "data" used throughout the tool is an all-encompassing term including at least data and metadata. Answers will be reviewed by utility security analysts upon submittal. This process will assist the utility in preventing breaches of protected information and comply with utility policy, state, and federal law.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recommended that the questionnaire be used in its entirety to reduce supply chain cybersecurity risk.  All questions should remain in original format to promote consistency and efficiency within the industry.
The scoring option provides utilities with a method to quickly and consistently evaluate responses from one or more suppliers.  It uses a simple multiplication of Answer and Weight values ranging from 1 - 5 (5 being best) in a typical Likert scale to derive a per-question score.  During evaluation of the completed questionnaire by the utility, the Weight value may be customized to reflect unique needs or priorities, while the Answer value should reflect how satisfactory the utility considers a given response. However, this option should not be relied upon as the singular determinant for procurement, risk, or other decisions, and should be used in conjunction with all existing processes that address those areas. 
For additional information, see the NATF Supply Chain Security Assessment Model. For details regarding annual revisions and timelines, see and the Revision Process for the Energy Sector Supply Chain Risk Questionnaire and NATF Supply Chain Security Criteria at www.natf.net/industry-initiatives/supply-chain-industry-coordination. </t>
  </si>
  <si>
    <t>Provide a list of countries in which supplier operates (has an office, sells product, or conducts any business) and describe activities conducted in each.</t>
  </si>
  <si>
    <t>Provide a list of countries in which supplier's product (i.e., hardware, software, firmware, or components) is manufactured or developed and describe activities conducted in each.</t>
  </si>
  <si>
    <t>Provide a list of countries in which supplier's product (i.e., hardware, software, firmware, or components) is assembled and describe activities conducted in each.</t>
  </si>
  <si>
    <t>Do you have controls in place to prevent unauthorized access to any other system through supplier's connection to other systems (i.e., no path or bridge)?</t>
  </si>
  <si>
    <t>Are user account passwords/passphrases/credentials encrypted when in transit and at rest?</t>
  </si>
  <si>
    <t>Do you digitally sign, validate, and provide a way for entities to validate software, patches, and firmware prior to distribution?</t>
  </si>
  <si>
    <t>Are processes in place to handle utility data in both a CUI and a CEII compliant manner?</t>
  </si>
  <si>
    <t>Is the service hosted in a high-availability environment (i.e., redundant power, hardware, software, and network accessibility; no single point of failure)?</t>
  </si>
  <si>
    <t>Does your product or service employ encryption technologies (e.g., SSH, SSL/TLS, VPN) when transmitting sensitive information over TCP/IP networks (e.g., system-to-system and system-to-client)?</t>
  </si>
  <si>
    <t>Are controls in place to ensure that your systems and/or processes prohibit/limit the use of external storage and removable media?</t>
  </si>
  <si>
    <t>Does your company have a Cyber Security Incident response plan/process, including when notification would be provided to purchaser?</t>
  </si>
  <si>
    <t>Does your Cyber Security Incident response plan contain a requirement to notify purchasers of the impacted products or services within 24 hours of initiation of your plan?</t>
  </si>
  <si>
    <t>Does your Cyber Security Incident response plan include a requirement to perform an after-action review, demonstrate corrective actions (e.g., lessons learned), and update your plan accordingly?</t>
  </si>
  <si>
    <t>Do you review and update your Cyber Security Incident response plan at least annually?</t>
  </si>
  <si>
    <t>Have you taken appropriate action in response to assessment(s) of your Cyber Security Incident response plan/process?</t>
  </si>
  <si>
    <t>Does your Cyber Security Incident response plan contain clear roles and responsibilities that include coordination of responses to your purchaser(s)?</t>
  </si>
  <si>
    <t>Does your Cyber Security Incident response plan contain steps to identify, contain, eradicate, and recover?</t>
  </si>
  <si>
    <t>Do you have up-to-date antimalware on all end nodes?</t>
  </si>
  <si>
    <t>Does your cybersecurity program conform with a specific industry standard security framework (e.g., NIST Cybersecurity Framework, ISO 27001, etc.)?</t>
  </si>
  <si>
    <r>
      <t xml:space="preserve">Does your cybersecurity program compliant with FISMA standards? Or, in the case of products configured by the utility client, do your products include features and capabilities that are in line with FISMA standards? </t>
    </r>
    <r>
      <rPr>
        <b/>
        <sz val="11"/>
        <rFont val="Verdana"/>
        <family val="2"/>
      </rPr>
      <t>More information on FIMSA</t>
    </r>
    <r>
      <rPr>
        <sz val="11"/>
        <rFont val="Verdana"/>
        <family val="2"/>
      </rPr>
      <t>: http://www.dhs.gov/FISMA</t>
    </r>
  </si>
  <si>
    <t>Do you have a process to remediate any security risks identified by purchaser, their representative, or any industry-recognized vulnerability research or assessment organization within a pre-negotiated timeframe?</t>
  </si>
  <si>
    <t>Do you allow third parties to perform security testing of your systems and/or application provided that testing is performed at a mutually agreed upon time and date?</t>
  </si>
  <si>
    <t>Step 1: Complete each section answering each set of questions. Do NOT provide values in the Answer, Weight, or Score columns - they should remain blank.
Step 2: Submit the completed Energy Sector Supply Chain Risk Questionnaire to the utility according to utility's procedures.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 Abbreviations and definitions are provided in the NATF Supply Chain Security Criteria.  Defined terms can be found in the NERC Glossary of Terms on the NERC Standards Program Area website or directly at https://www.nerc.com/pa/Stand/Glossary%20of%20Terms/Glossary_of_Terms.pdf.</t>
  </si>
  <si>
    <t>Version: 4.0</t>
  </si>
  <si>
    <t>Approved: 6/2/2023</t>
  </si>
  <si>
    <t>Published
6/2/2023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</si>
</sst>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46"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2"/>
      <color theme="1"/>
      <name val="Calibri"/>
      <family val="2"/>
      <scheme val="minor"/>
    </font>
    <font>
      <b/>
      <sz val="16"/>
      <color theme="0" tint="-0.249977111117893"/>
      <name val="Verdana"/>
      <family val="2"/>
    </font>
    <font>
      <b/>
      <sz val="22"/>
      <color theme="4" tint="-0.499984740745262"/>
      <name val="Calibri Light"/>
      <family val="2"/>
      <scheme val="major"/>
    </font>
    <font>
      <sz val="16"/>
      <color rgb="FFFF0000"/>
      <name val="Calibri"/>
      <family val="2"/>
      <scheme val="minor"/>
    </font>
    <font>
      <u/>
      <sz val="12"/>
      <color theme="10"/>
      <name val="Verdana"/>
      <family val="2"/>
    </font>
    <font>
      <sz val="8"/>
      <name val="Verdana"/>
      <family val="2"/>
    </font>
    <font>
      <sz val="11"/>
      <color theme="8"/>
      <name val="Verdana"/>
      <family val="2"/>
    </font>
    <font>
      <sz val="14"/>
      <color indexed="8"/>
      <name val="Verdana"/>
      <family val="2"/>
    </font>
    <font>
      <b/>
      <sz val="16"/>
      <color indexed="8"/>
      <name val="Verdana"/>
      <family val="2"/>
    </font>
    <font>
      <b/>
      <sz val="14"/>
      <color indexed="8"/>
      <name val="Verdana"/>
      <family val="2"/>
    </font>
    <font>
      <i/>
      <sz val="11"/>
      <name val="Calibri"/>
      <family val="2"/>
      <scheme val="minor"/>
    </font>
    <font>
      <b/>
      <sz val="22"/>
      <name val="Calibri Light"/>
      <family val="2"/>
      <scheme val="major"/>
    </font>
    <font>
      <b/>
      <sz val="11"/>
      <name val="Verdana"/>
      <family val="2"/>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
      <patternFill patternType="solid">
        <fgColor theme="2" tint="-0.749992370372631"/>
        <bgColor indexed="64"/>
      </patternFill>
    </fill>
    <fill>
      <patternFill patternType="solid">
        <fgColor theme="9"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2">
    <xf numFmtId="0" fontId="0" fillId="0" borderId="0" applyNumberFormat="0" applyFill="0" applyBorder="0" applyProtection="0">
      <alignment vertical="top" wrapText="1"/>
    </xf>
    <xf numFmtId="0" fontId="10" fillId="0" borderId="0"/>
    <xf numFmtId="0" fontId="7" fillId="0" borderId="0"/>
    <xf numFmtId="0" fontId="5" fillId="0" borderId="0"/>
    <xf numFmtId="0" fontId="37" fillId="0" borderId="0" applyNumberFormat="0" applyFill="0" applyBorder="0" applyAlignment="0" applyProtection="0">
      <alignment vertical="top" wrapText="1"/>
    </xf>
    <xf numFmtId="0" fontId="4" fillId="0" borderId="0"/>
    <xf numFmtId="0" fontId="4" fillId="0" borderId="0"/>
    <xf numFmtId="0" fontId="3" fillId="0" borderId="0"/>
    <xf numFmtId="0" fontId="3" fillId="0" borderId="0"/>
    <xf numFmtId="0" fontId="23" fillId="0" borderId="0" applyNumberFormat="0" applyFill="0" applyBorder="0" applyProtection="0">
      <alignment vertical="top" wrapText="1"/>
    </xf>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0">
    <xf numFmtId="0" fontId="0" fillId="0" borderId="0" xfId="0">
      <alignment vertical="top" wrapText="1"/>
    </xf>
    <xf numFmtId="0" fontId="13" fillId="0" borderId="0" xfId="0" applyNumberFormat="1" applyFont="1" applyAlignment="1"/>
    <xf numFmtId="0" fontId="17" fillId="4" borderId="1" xfId="0" applyNumberFormat="1" applyFont="1" applyFill="1" applyBorder="1" applyAlignment="1">
      <alignment horizontal="center" vertical="center" wrapText="1"/>
    </xf>
    <xf numFmtId="0" fontId="14" fillId="2" borderId="1" xfId="0" applyNumberFormat="1" applyFont="1" applyFill="1" applyBorder="1" applyAlignment="1">
      <alignment vertical="center" wrapText="1"/>
    </xf>
    <xf numFmtId="0" fontId="21" fillId="8" borderId="1" xfId="0" applyFont="1" applyFill="1" applyBorder="1" applyAlignment="1">
      <alignment vertical="center" wrapText="1"/>
    </xf>
    <xf numFmtId="0" fontId="13" fillId="0" borderId="0" xfId="0" applyNumberFormat="1" applyFont="1" applyAlignment="1">
      <alignment horizontal="center" vertical="center"/>
    </xf>
    <xf numFmtId="0" fontId="13" fillId="0" borderId="0" xfId="0" applyNumberFormat="1" applyFont="1" applyAlignment="1">
      <alignment wrapText="1"/>
    </xf>
    <xf numFmtId="0" fontId="19" fillId="0" borderId="0" xfId="0" applyNumberFormat="1" applyFont="1" applyBorder="1" applyAlignment="1">
      <alignment wrapText="1"/>
    </xf>
    <xf numFmtId="0" fontId="13" fillId="2" borderId="4" xfId="0" applyFont="1" applyFill="1" applyBorder="1" applyAlignment="1">
      <alignment vertical="center" wrapText="1"/>
    </xf>
    <xf numFmtId="0" fontId="0" fillId="2" borderId="0" xfId="0" applyFill="1" applyBorder="1" applyAlignment="1">
      <alignment vertical="top"/>
    </xf>
    <xf numFmtId="0" fontId="13" fillId="2" borderId="0" xfId="0" applyFont="1" applyFill="1" applyBorder="1" applyAlignment="1">
      <alignment vertical="center"/>
    </xf>
    <xf numFmtId="0" fontId="23" fillId="2" borderId="0" xfId="0" applyFont="1" applyFill="1" applyBorder="1" applyAlignment="1">
      <alignment vertical="center" wrapText="1"/>
    </xf>
    <xf numFmtId="0" fontId="25" fillId="7" borderId="1" xfId="0" applyFont="1" applyFill="1" applyBorder="1" applyAlignment="1">
      <alignment vertical="center" wrapText="1"/>
    </xf>
    <xf numFmtId="0" fontId="24" fillId="3" borderId="1" xfId="0" applyNumberFormat="1" applyFont="1" applyFill="1" applyBorder="1" applyAlignment="1">
      <alignment vertical="center" wrapText="1"/>
    </xf>
    <xf numFmtId="1" fontId="24" fillId="3" borderId="1" xfId="0" applyNumberFormat="1" applyFont="1" applyFill="1" applyBorder="1" applyAlignment="1">
      <alignment vertical="center" wrapText="1"/>
    </xf>
    <xf numFmtId="0" fontId="24" fillId="7" borderId="1" xfId="0" applyFont="1" applyFill="1" applyBorder="1" applyAlignment="1">
      <alignment vertical="center" wrapText="1"/>
    </xf>
    <xf numFmtId="0" fontId="24" fillId="10" borderId="1" xfId="0" applyNumberFormat="1" applyFont="1" applyFill="1" applyBorder="1" applyAlignment="1">
      <alignment vertical="center" wrapText="1"/>
    </xf>
    <xf numFmtId="1" fontId="27" fillId="0" borderId="1" xfId="0" applyNumberFormat="1" applyFont="1" applyFill="1" applyBorder="1" applyAlignment="1">
      <alignment vertical="center" wrapText="1"/>
    </xf>
    <xf numFmtId="0" fontId="14" fillId="10" borderId="1" xfId="0" applyNumberFormat="1" applyFont="1" applyFill="1" applyBorder="1" applyAlignment="1">
      <alignment vertical="center" wrapText="1"/>
    </xf>
    <xf numFmtId="0" fontId="27" fillId="3" borderId="1" xfId="0" applyNumberFormat="1" applyFont="1" applyFill="1" applyBorder="1" applyAlignment="1">
      <alignment horizontal="left" vertical="center" wrapText="1"/>
    </xf>
    <xf numFmtId="0" fontId="24" fillId="2" borderId="1" xfId="0" applyNumberFormat="1" applyFont="1" applyFill="1" applyBorder="1" applyAlignment="1">
      <alignment vertical="center" wrapText="1"/>
    </xf>
    <xf numFmtId="1" fontId="24" fillId="0" borderId="1" xfId="0" applyNumberFormat="1" applyFont="1" applyFill="1" applyBorder="1" applyAlignment="1">
      <alignment vertical="center" wrapText="1"/>
    </xf>
    <xf numFmtId="0" fontId="24" fillId="2" borderId="4" xfId="0" applyFont="1" applyFill="1" applyBorder="1" applyAlignment="1">
      <alignment vertical="center" wrapText="1"/>
    </xf>
    <xf numFmtId="0" fontId="27" fillId="0" borderId="1" xfId="0" applyNumberFormat="1" applyFont="1" applyFill="1" applyBorder="1" applyAlignment="1">
      <alignment horizontal="left" vertical="center" wrapText="1"/>
    </xf>
    <xf numFmtId="0" fontId="24" fillId="0" borderId="1" xfId="0" applyNumberFormat="1" applyFont="1" applyFill="1" applyBorder="1" applyAlignment="1">
      <alignment horizontal="left" vertical="center" wrapText="1"/>
    </xf>
    <xf numFmtId="0" fontId="25" fillId="0" borderId="1" xfId="0" applyFont="1" applyFill="1" applyBorder="1" applyAlignment="1">
      <alignment vertical="center" wrapText="1"/>
    </xf>
    <xf numFmtId="0" fontId="24" fillId="0" borderId="1" xfId="0" applyNumberFormat="1" applyFont="1" applyFill="1" applyBorder="1" applyAlignment="1">
      <alignment vertical="center" wrapText="1"/>
    </xf>
    <xf numFmtId="0" fontId="27" fillId="0" borderId="1" xfId="0" applyNumberFormat="1" applyFont="1" applyFill="1" applyBorder="1" applyAlignment="1">
      <alignment vertical="center" wrapText="1"/>
    </xf>
    <xf numFmtId="0" fontId="13" fillId="2" borderId="5" xfId="0" applyFont="1" applyFill="1" applyBorder="1" applyAlignment="1">
      <alignment vertical="center"/>
    </xf>
    <xf numFmtId="0" fontId="12" fillId="9" borderId="1" xfId="0" applyNumberFormat="1" applyFont="1" applyFill="1" applyBorder="1" applyAlignment="1">
      <alignment horizontal="left" vertical="center" wrapText="1"/>
    </xf>
    <xf numFmtId="0" fontId="13" fillId="0" borderId="0" xfId="0" applyNumberFormat="1" applyFont="1" applyAlignment="1">
      <alignment horizontal="left" vertical="center"/>
    </xf>
    <xf numFmtId="0" fontId="13" fillId="2" borderId="0" xfId="0" applyNumberFormat="1" applyFont="1" applyFill="1" applyBorder="1" applyAlignment="1">
      <alignment horizontal="left" vertical="center"/>
    </xf>
    <xf numFmtId="0" fontId="13" fillId="2" borderId="6" xfId="0" applyNumberFormat="1" applyFont="1" applyFill="1" applyBorder="1" applyAlignment="1">
      <alignment horizontal="left" vertical="center"/>
    </xf>
    <xf numFmtId="0" fontId="24" fillId="3" borderId="1" xfId="0" applyNumberFormat="1" applyFont="1" applyFill="1" applyBorder="1" applyAlignment="1">
      <alignment horizontal="left" vertical="center" wrapText="1"/>
    </xf>
    <xf numFmtId="0" fontId="24" fillId="2" borderId="1" xfId="0" applyNumberFormat="1" applyFont="1" applyFill="1" applyBorder="1" applyAlignment="1">
      <alignment horizontal="left" vertical="center" wrapText="1"/>
    </xf>
    <xf numFmtId="0" fontId="24" fillId="2" borderId="1" xfId="0" applyNumberFormat="1" applyFont="1" applyFill="1" applyBorder="1" applyAlignment="1">
      <alignment horizontal="center" vertical="center"/>
    </xf>
    <xf numFmtId="0" fontId="24" fillId="2" borderId="1" xfId="0" applyNumberFormat="1" applyFont="1" applyFill="1" applyBorder="1" applyAlignment="1">
      <alignment horizontal="center" vertical="center" wrapText="1"/>
    </xf>
    <xf numFmtId="0" fontId="24" fillId="8" borderId="1" xfId="0" applyFont="1" applyFill="1" applyBorder="1" applyAlignment="1">
      <alignment vertical="center" wrapText="1"/>
    </xf>
    <xf numFmtId="0" fontId="24"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NumberFormat="1" applyFont="1" applyFill="1" applyBorder="1" applyAlignment="1">
      <alignment horizontal="center" vertical="center"/>
    </xf>
    <xf numFmtId="0" fontId="20"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2" fillId="0" borderId="0" xfId="0" applyFont="1" applyAlignment="1"/>
    <xf numFmtId="0" fontId="32" fillId="0" borderId="0" xfId="1" applyFont="1"/>
    <xf numFmtId="0" fontId="10" fillId="0" borderId="0" xfId="1"/>
    <xf numFmtId="0" fontId="10" fillId="0" borderId="7" xfId="1" applyBorder="1" applyAlignment="1">
      <alignment horizontal="left" wrapText="1"/>
    </xf>
    <xf numFmtId="0" fontId="10" fillId="0" borderId="8" xfId="1" applyBorder="1" applyAlignment="1">
      <alignment horizontal="left" wrapText="1"/>
    </xf>
    <xf numFmtId="14" fontId="10" fillId="0" borderId="9" xfId="1" applyNumberFormat="1" applyBorder="1" applyAlignment="1">
      <alignment horizontal="left" wrapText="1"/>
    </xf>
    <xf numFmtId="0" fontId="10" fillId="0" borderId="10" xfId="1" applyBorder="1" applyAlignment="1">
      <alignment horizontal="center" wrapText="1"/>
    </xf>
    <xf numFmtId="0" fontId="10" fillId="0" borderId="10" xfId="1" applyBorder="1" applyAlignment="1">
      <alignment horizontal="left" wrapText="1"/>
    </xf>
    <xf numFmtId="0" fontId="24" fillId="0" borderId="1" xfId="0" applyFont="1" applyFill="1" applyBorder="1" applyAlignment="1">
      <alignment vertical="center" wrapText="1"/>
    </xf>
    <xf numFmtId="0" fontId="24" fillId="3" borderId="1" xfId="0" applyFont="1" applyFill="1" applyBorder="1" applyAlignment="1">
      <alignment vertical="center" wrapText="1"/>
    </xf>
    <xf numFmtId="0" fontId="9" fillId="0" borderId="8" xfId="1" applyFont="1" applyBorder="1" applyAlignment="1">
      <alignment horizontal="left" wrapText="1"/>
    </xf>
    <xf numFmtId="0" fontId="8" fillId="0" borderId="10" xfId="1" applyFont="1" applyBorder="1" applyAlignment="1">
      <alignment horizontal="left" wrapText="1"/>
    </xf>
    <xf numFmtId="1" fontId="30" fillId="2" borderId="1" xfId="0" applyNumberFormat="1" applyFont="1" applyFill="1" applyBorder="1" applyAlignment="1">
      <alignment vertical="center" wrapText="1"/>
    </xf>
    <xf numFmtId="1" fontId="30" fillId="10" borderId="1" xfId="0" applyNumberFormat="1" applyFont="1" applyFill="1" applyBorder="1" applyAlignment="1">
      <alignment vertical="center" wrapText="1"/>
    </xf>
    <xf numFmtId="0" fontId="30" fillId="2" borderId="1" xfId="0" applyNumberFormat="1" applyFont="1" applyFill="1" applyBorder="1" applyAlignment="1">
      <alignment vertical="center" wrapText="1"/>
    </xf>
    <xf numFmtId="0" fontId="30" fillId="11" borderId="1" xfId="0" applyFont="1" applyFill="1" applyBorder="1" applyAlignment="1">
      <alignment vertical="center" wrapText="1"/>
    </xf>
    <xf numFmtId="0" fontId="30" fillId="2" borderId="1" xfId="0" applyFont="1" applyFill="1" applyBorder="1" applyAlignment="1">
      <alignment vertical="center" wrapText="1"/>
    </xf>
    <xf numFmtId="165" fontId="6" fillId="0" borderId="10" xfId="1" applyNumberFormat="1" applyFont="1" applyBorder="1" applyAlignment="1">
      <alignment horizontal="center" vertical="top" wrapText="1"/>
    </xf>
    <xf numFmtId="0" fontId="24" fillId="2" borderId="0" xfId="0" applyFont="1" applyFill="1" applyBorder="1" applyAlignment="1">
      <alignment vertical="center"/>
    </xf>
    <xf numFmtId="0" fontId="25" fillId="0" borderId="0" xfId="0" applyFont="1">
      <alignment vertical="top" wrapText="1"/>
    </xf>
    <xf numFmtId="165" fontId="10" fillId="0" borderId="10" xfId="1" applyNumberFormat="1" applyBorder="1" applyAlignment="1">
      <alignment horizontal="center" wrapText="1"/>
    </xf>
    <xf numFmtId="0" fontId="20" fillId="0" borderId="0" xfId="0" applyNumberFormat="1" applyFont="1" applyAlignment="1"/>
    <xf numFmtId="14" fontId="32" fillId="0" borderId="9" xfId="1" applyNumberFormat="1" applyFont="1" applyBorder="1" applyAlignment="1">
      <alignment horizontal="left" vertical="top" wrapText="1"/>
    </xf>
    <xf numFmtId="14" fontId="36" fillId="0" borderId="0" xfId="7" applyNumberFormat="1" applyFont="1" applyAlignment="1">
      <alignment horizontal="left" vertical="top" wrapText="1"/>
    </xf>
    <xf numFmtId="0" fontId="39" fillId="2" borderId="1" xfId="0" applyFont="1" applyFill="1" applyBorder="1" applyAlignment="1">
      <alignment vertical="center" wrapText="1"/>
    </xf>
    <xf numFmtId="0" fontId="39" fillId="2" borderId="1" xfId="0" applyNumberFormat="1" applyFont="1" applyFill="1" applyBorder="1" applyAlignment="1">
      <alignment vertical="center" wrapText="1"/>
    </xf>
    <xf numFmtId="165" fontId="32" fillId="0" borderId="10" xfId="1" applyNumberFormat="1" applyFont="1" applyBorder="1" applyAlignment="1">
      <alignment horizontal="center" vertical="top" wrapText="1"/>
    </xf>
    <xf numFmtId="0" fontId="12" fillId="9" borderId="11" xfId="0" applyNumberFormat="1" applyFont="1" applyFill="1" applyBorder="1" applyAlignment="1">
      <alignment horizontal="center" vertical="center" wrapText="1"/>
    </xf>
    <xf numFmtId="0" fontId="12" fillId="9" borderId="12" xfId="0" applyNumberFormat="1" applyFont="1" applyFill="1" applyBorder="1" applyAlignment="1">
      <alignment horizontal="center" vertical="center" wrapText="1"/>
    </xf>
    <xf numFmtId="0" fontId="12" fillId="9" borderId="6" xfId="0" applyNumberFormat="1" applyFont="1" applyFill="1" applyBorder="1" applyAlignment="1">
      <alignment horizontal="center" vertical="center"/>
    </xf>
    <xf numFmtId="0" fontId="40" fillId="0" borderId="13" xfId="0" applyNumberFormat="1" applyFont="1" applyBorder="1" applyAlignment="1">
      <alignment horizontal="center" vertical="center"/>
    </xf>
    <xf numFmtId="0" fontId="40" fillId="0" borderId="0" xfId="0" applyNumberFormat="1" applyFont="1" applyBorder="1" applyAlignment="1">
      <alignment horizontal="center" vertical="center"/>
    </xf>
    <xf numFmtId="0" fontId="40" fillId="0" borderId="5" xfId="0" applyNumberFormat="1" applyFont="1" applyFill="1" applyBorder="1" applyAlignment="1">
      <alignment horizontal="center" vertical="center"/>
    </xf>
    <xf numFmtId="0" fontId="40" fillId="4" borderId="13" xfId="0" applyNumberFormat="1" applyFont="1" applyFill="1" applyBorder="1" applyAlignment="1">
      <alignment horizontal="center" vertical="center"/>
    </xf>
    <xf numFmtId="0" fontId="40" fillId="4" borderId="0" xfId="0" applyNumberFormat="1" applyFont="1" applyFill="1" applyBorder="1" applyAlignment="1">
      <alignment horizontal="center" vertical="center"/>
    </xf>
    <xf numFmtId="0" fontId="40" fillId="4" borderId="5" xfId="0" applyNumberFormat="1" applyFont="1" applyFill="1" applyBorder="1" applyAlignment="1">
      <alignment horizontal="center" vertical="center"/>
    </xf>
    <xf numFmtId="0" fontId="40" fillId="5" borderId="13" xfId="0" applyNumberFormat="1" applyFont="1" applyFill="1" applyBorder="1" applyAlignment="1">
      <alignment horizontal="center" vertical="center"/>
    </xf>
    <xf numFmtId="0" fontId="40" fillId="5" borderId="0" xfId="0" applyNumberFormat="1" applyFont="1" applyFill="1" applyBorder="1" applyAlignment="1">
      <alignment horizontal="center" vertical="center"/>
    </xf>
    <xf numFmtId="0" fontId="41" fillId="0" borderId="1" xfId="0" applyNumberFormat="1" applyFont="1" applyFill="1" applyBorder="1" applyAlignment="1">
      <alignment horizontal="center" vertical="center"/>
    </xf>
    <xf numFmtId="0" fontId="42" fillId="0" borderId="1" xfId="0" applyNumberFormat="1" applyFont="1" applyFill="1" applyBorder="1" applyAlignment="1">
      <alignment horizontal="center" vertical="center"/>
    </xf>
    <xf numFmtId="0" fontId="40" fillId="13" borderId="1" xfId="0" applyNumberFormat="1" applyFont="1" applyFill="1" applyBorder="1" applyAlignment="1">
      <alignment horizontal="center" vertical="center"/>
    </xf>
    <xf numFmtId="0" fontId="40" fillId="0" borderId="1" xfId="0" applyNumberFormat="1" applyFont="1" applyFill="1" applyBorder="1" applyAlignment="1">
      <alignment horizontal="center" vertical="center"/>
    </xf>
    <xf numFmtId="0" fontId="42" fillId="0" borderId="5" xfId="0" applyNumberFormat="1" applyFont="1" applyFill="1" applyBorder="1" applyAlignment="1">
      <alignment horizontal="center" vertical="center"/>
    </xf>
    <xf numFmtId="0" fontId="40" fillId="13" borderId="2" xfId="0" applyNumberFormat="1" applyFont="1" applyFill="1" applyBorder="1" applyAlignment="1">
      <alignment horizontal="center" vertical="center"/>
    </xf>
    <xf numFmtId="0" fontId="40" fillId="0" borderId="0" xfId="0" applyNumberFormat="1" applyFont="1" applyAlignment="1">
      <alignment horizontal="center" vertical="center"/>
    </xf>
    <xf numFmtId="0" fontId="40" fillId="0" borderId="0" xfId="0" applyNumberFormat="1" applyFont="1" applyFill="1" applyAlignment="1">
      <alignment horizontal="center" vertical="center"/>
    </xf>
    <xf numFmtId="0" fontId="23" fillId="0" borderId="0" xfId="9">
      <alignment vertical="top" wrapText="1"/>
    </xf>
    <xf numFmtId="0" fontId="33" fillId="0" borderId="0" xfId="9" applyFont="1" applyAlignment="1"/>
    <xf numFmtId="0" fontId="23" fillId="0" borderId="0" xfId="9" applyAlignment="1">
      <alignment horizontal="justify" vertical="center"/>
    </xf>
    <xf numFmtId="0" fontId="32" fillId="0" borderId="10" xfId="1" applyFont="1" applyBorder="1" applyAlignment="1">
      <alignment horizontal="center" wrapText="1"/>
    </xf>
    <xf numFmtId="14" fontId="32" fillId="0" borderId="9" xfId="1" applyNumberFormat="1" applyFont="1" applyBorder="1" applyAlignment="1">
      <alignment horizontal="left" wrapText="1"/>
    </xf>
    <xf numFmtId="0" fontId="32" fillId="0" borderId="10" xfId="1" applyFont="1" applyBorder="1" applyAlignment="1">
      <alignment horizontal="left" wrapText="1"/>
    </xf>
    <xf numFmtId="0" fontId="32" fillId="0" borderId="8" xfId="1" applyFont="1" applyBorder="1" applyAlignment="1">
      <alignment horizontal="left" wrapText="1"/>
    </xf>
    <xf numFmtId="0" fontId="43" fillId="0" borderId="0" xfId="0" applyFont="1" applyAlignment="1"/>
    <xf numFmtId="165" fontId="32" fillId="0" borderId="10" xfId="1" applyNumberFormat="1" applyFont="1" applyBorder="1" applyAlignment="1">
      <alignment horizontal="center" wrapText="1"/>
    </xf>
    <xf numFmtId="0" fontId="32" fillId="0" borderId="7" xfId="1" applyFont="1" applyBorder="1" applyAlignment="1">
      <alignment horizontal="left" wrapText="1"/>
    </xf>
    <xf numFmtId="0" fontId="32" fillId="0" borderId="10" xfId="1" applyFont="1" applyBorder="1" applyAlignment="1">
      <alignment horizontal="left" vertical="top" wrapText="1"/>
    </xf>
    <xf numFmtId="0" fontId="12" fillId="9" borderId="1" xfId="0" applyNumberFormat="1" applyFont="1" applyFill="1" applyBorder="1" applyAlignment="1">
      <alignment horizontal="center" vertical="center" wrapText="1"/>
    </xf>
    <xf numFmtId="14" fontId="36" fillId="0" borderId="0" xfId="30" applyNumberFormat="1" applyFont="1" applyAlignment="1">
      <alignment horizontal="left" vertical="top" wrapText="1"/>
    </xf>
    <xf numFmtId="0" fontId="31" fillId="0" borderId="0" xfId="0" applyFont="1" applyAlignment="1">
      <alignment horizontal="left" vertical="center" wrapText="1"/>
    </xf>
    <xf numFmtId="0" fontId="35" fillId="0" borderId="0" xfId="0" applyFont="1" applyAlignment="1">
      <alignment horizontal="left" wrapText="1"/>
    </xf>
    <xf numFmtId="0" fontId="31" fillId="0" borderId="0" xfId="9" applyFont="1" applyAlignment="1">
      <alignment horizontal="left" vertical="center"/>
    </xf>
    <xf numFmtId="0" fontId="31" fillId="0" borderId="0" xfId="9" applyFont="1" applyAlignment="1">
      <alignment horizontal="left" vertical="center" wrapText="1"/>
    </xf>
    <xf numFmtId="0" fontId="44" fillId="0" borderId="0" xfId="0" applyFont="1" applyAlignment="1">
      <alignment horizontal="left" wrapText="1"/>
    </xf>
    <xf numFmtId="0" fontId="17" fillId="4" borderId="13" xfId="0" applyNumberFormat="1" applyFont="1" applyFill="1" applyBorder="1" applyAlignment="1">
      <alignment horizontal="center" vertical="center"/>
    </xf>
    <xf numFmtId="0" fontId="17" fillId="4" borderId="0" xfId="0" applyNumberFormat="1" applyFont="1" applyFill="1" applyBorder="1" applyAlignment="1">
      <alignment horizontal="center" vertical="center"/>
    </xf>
    <xf numFmtId="0" fontId="17" fillId="12" borderId="1" xfId="0" applyNumberFormat="1" applyFont="1" applyFill="1" applyBorder="1" applyAlignment="1">
      <alignment horizontal="center" vertical="center"/>
    </xf>
    <xf numFmtId="0" fontId="24" fillId="3" borderId="1" xfId="0" applyNumberFormat="1" applyFont="1" applyFill="1" applyBorder="1" applyAlignment="1">
      <alignment horizontal="left" vertical="center" wrapText="1"/>
    </xf>
    <xf numFmtId="0" fontId="29" fillId="0" borderId="2" xfId="0" applyNumberFormat="1" applyFont="1" applyFill="1" applyBorder="1" applyAlignment="1">
      <alignment horizontal="left" vertical="center" wrapText="1"/>
    </xf>
    <xf numFmtId="0" fontId="29" fillId="0" borderId="3" xfId="0" applyNumberFormat="1" applyFont="1" applyFill="1" applyBorder="1" applyAlignment="1">
      <alignment horizontal="left" vertical="center" wrapText="1"/>
    </xf>
    <xf numFmtId="0" fontId="29" fillId="0" borderId="4" xfId="0" applyNumberFormat="1" applyFont="1" applyFill="1" applyBorder="1" applyAlignment="1">
      <alignment horizontal="left" vertical="center" wrapText="1"/>
    </xf>
    <xf numFmtId="0" fontId="29" fillId="0" borderId="2" xfId="0" applyNumberFormat="1" applyFont="1" applyFill="1" applyBorder="1" applyAlignment="1">
      <alignment vertical="center" wrapText="1"/>
    </xf>
    <xf numFmtId="0" fontId="29" fillId="0" borderId="3" xfId="0" applyNumberFormat="1" applyFont="1" applyFill="1" applyBorder="1" applyAlignment="1">
      <alignment vertical="center" wrapText="1"/>
    </xf>
    <xf numFmtId="0" fontId="29" fillId="0" borderId="4" xfId="0" applyNumberFormat="1" applyFont="1" applyFill="1" applyBorder="1" applyAlignment="1">
      <alignment vertical="center" wrapText="1"/>
    </xf>
    <xf numFmtId="0" fontId="24" fillId="0" borderId="3" xfId="0" applyNumberFormat="1" applyFont="1" applyFill="1" applyBorder="1" applyAlignment="1">
      <alignment horizontal="left" vertical="center" wrapText="1"/>
    </xf>
    <xf numFmtId="0" fontId="24" fillId="0" borderId="4" xfId="0" applyNumberFormat="1" applyFont="1" applyFill="1" applyBorder="1" applyAlignment="1">
      <alignment horizontal="left" vertical="center" wrapText="1"/>
    </xf>
    <xf numFmtId="0" fontId="17" fillId="4" borderId="1" xfId="0" applyNumberFormat="1" applyFont="1" applyFill="1" applyBorder="1" applyAlignment="1">
      <alignment horizontal="left" vertical="center" wrapText="1"/>
    </xf>
    <xf numFmtId="0" fontId="24" fillId="3" borderId="2" xfId="0" applyNumberFormat="1" applyFont="1" applyFill="1" applyBorder="1" applyAlignment="1">
      <alignment horizontal="center" vertical="center" wrapText="1"/>
    </xf>
    <xf numFmtId="0" fontId="24" fillId="3" borderId="3" xfId="0" applyNumberFormat="1" applyFont="1" applyFill="1" applyBorder="1" applyAlignment="1">
      <alignment horizontal="center" vertical="center" wrapText="1"/>
    </xf>
    <xf numFmtId="1" fontId="24" fillId="3" borderId="2" xfId="0" applyNumberFormat="1" applyFont="1" applyFill="1" applyBorder="1" applyAlignment="1">
      <alignment horizontal="center" vertical="center" wrapText="1"/>
    </xf>
    <xf numFmtId="1" fontId="24" fillId="3" borderId="3" xfId="0" applyNumberFormat="1" applyFont="1" applyFill="1" applyBorder="1" applyAlignment="1">
      <alignment horizontal="center" vertical="center" wrapText="1"/>
    </xf>
    <xf numFmtId="1" fontId="24" fillId="3" borderId="4"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11" fillId="9" borderId="1" xfId="0" applyNumberFormat="1" applyFont="1" applyFill="1" applyBorder="1" applyAlignment="1">
      <alignment horizontal="left" vertical="center" wrapText="1"/>
    </xf>
    <xf numFmtId="0" fontId="22" fillId="0" borderId="0" xfId="0" applyFont="1" applyBorder="1" applyAlignment="1">
      <alignment vertical="center" wrapText="1"/>
    </xf>
    <xf numFmtId="0" fontId="13" fillId="2" borderId="0" xfId="0" applyFont="1" applyFill="1" applyBorder="1" applyAlignment="1">
      <alignment vertical="center"/>
    </xf>
    <xf numFmtId="0" fontId="18" fillId="6" borderId="2" xfId="0" applyNumberFormat="1" applyFont="1" applyFill="1" applyBorder="1" applyAlignment="1">
      <alignment horizontal="left" vertical="center" wrapText="1"/>
    </xf>
    <xf numFmtId="0" fontId="18" fillId="6" borderId="3" xfId="0" applyNumberFormat="1" applyFont="1" applyFill="1" applyBorder="1" applyAlignment="1">
      <alignment horizontal="left" vertical="center" wrapText="1"/>
    </xf>
    <xf numFmtId="0" fontId="18" fillId="6" borderId="4" xfId="0" applyNumberFormat="1" applyFont="1" applyFill="1" applyBorder="1" applyAlignment="1">
      <alignment horizontal="left" vertical="center" wrapText="1"/>
    </xf>
    <xf numFmtId="164" fontId="16" fillId="3" borderId="2" xfId="0" applyNumberFormat="1" applyFont="1" applyFill="1" applyBorder="1" applyAlignment="1">
      <alignment horizontal="left" vertical="center" wrapText="1"/>
    </xf>
    <xf numFmtId="164" fontId="16" fillId="3" borderId="3" xfId="0" applyNumberFormat="1" applyFont="1" applyFill="1" applyBorder="1" applyAlignment="1">
      <alignment horizontal="left" vertical="center" wrapText="1"/>
    </xf>
    <xf numFmtId="164" fontId="16" fillId="3" borderId="4" xfId="0" applyNumberFormat="1" applyFont="1" applyFill="1" applyBorder="1" applyAlignment="1">
      <alignment horizontal="left" vertical="center" wrapText="1"/>
    </xf>
    <xf numFmtId="0" fontId="25" fillId="5" borderId="2" xfId="0" applyNumberFormat="1" applyFont="1" applyFill="1" applyBorder="1" applyAlignment="1">
      <alignment horizontal="left" vertical="center" wrapText="1"/>
    </xf>
    <xf numFmtId="0" fontId="25" fillId="5" borderId="3" xfId="0" applyNumberFormat="1" applyFont="1" applyFill="1" applyBorder="1" applyAlignment="1">
      <alignment horizontal="left" vertical="center" wrapText="1"/>
    </xf>
    <xf numFmtId="0" fontId="25" fillId="5" borderId="4" xfId="0" applyNumberFormat="1" applyFont="1" applyFill="1" applyBorder="1" applyAlignment="1">
      <alignment horizontal="left" vertical="center" wrapText="1"/>
    </xf>
    <xf numFmtId="0" fontId="17" fillId="4" borderId="2" xfId="0" applyNumberFormat="1" applyFont="1" applyFill="1" applyBorder="1" applyAlignment="1">
      <alignment horizontal="left" vertical="center" wrapText="1"/>
    </xf>
    <xf numFmtId="0" fontId="17" fillId="4" borderId="3" xfId="0" applyNumberFormat="1" applyFont="1" applyFill="1" applyBorder="1" applyAlignment="1">
      <alignment horizontal="left" vertical="center" wrapText="1"/>
    </xf>
    <xf numFmtId="0" fontId="17" fillId="4" borderId="4"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0" fontId="15" fillId="2" borderId="3" xfId="0" applyNumberFormat="1" applyFont="1" applyFill="1" applyBorder="1" applyAlignment="1">
      <alignment horizontal="right" vertical="center" wrapText="1"/>
    </xf>
    <xf numFmtId="0" fontId="15" fillId="2" borderId="4" xfId="0" applyNumberFormat="1" applyFont="1" applyFill="1" applyBorder="1" applyAlignment="1">
      <alignment horizontal="right" vertical="center" wrapText="1"/>
    </xf>
    <xf numFmtId="0" fontId="24" fillId="7" borderId="1" xfId="0" applyFont="1" applyFill="1" applyBorder="1" applyAlignment="1">
      <alignment vertical="center" wrapText="1"/>
    </xf>
    <xf numFmtId="0" fontId="27" fillId="0" borderId="2"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4" fillId="0" borderId="2" xfId="0" applyNumberFormat="1" applyFont="1" applyFill="1" applyBorder="1" applyAlignment="1">
      <alignment horizontal="left" vertical="center" wrapText="1"/>
    </xf>
  </cellXfs>
  <cellStyles count="32">
    <cellStyle name="Hyperlink 2" xfId="4" xr:uid="{9F0E0A36-5624-45CF-B333-2C5AF336D0CB}"/>
    <cellStyle name="Normal" xfId="0" builtinId="0"/>
    <cellStyle name="Normal 2" xfId="9" xr:uid="{64DE6FB7-F08F-4AF0-92C4-B2D7191B5AFB}"/>
    <cellStyle name="Normal 3" xfId="1" xr:uid="{2AC8ADC4-B574-4048-8F25-6C4814CE3854}"/>
    <cellStyle name="Normal 3 2" xfId="2" xr:uid="{4FDE45D8-B2D6-4DF5-810D-A1C80F2C2624}"/>
    <cellStyle name="Normal 3 2 2" xfId="6" xr:uid="{DD0371F2-D819-4F76-AF01-DE6973D89054}"/>
    <cellStyle name="Normal 3 2 2 2" xfId="22" xr:uid="{AD511478-DE4E-4594-AA2B-053D3CF14699}"/>
    <cellStyle name="Normal 3 2 2 3" xfId="29" xr:uid="{2E34329F-AF16-46E8-88A3-844A9C85B18F}"/>
    <cellStyle name="Normal 3 2 2 4" xfId="15" xr:uid="{AF92F15E-038A-4B0D-A506-E17CB7FB03B1}"/>
    <cellStyle name="Normal 3 2 3" xfId="8" xr:uid="{7FBFD532-9AD9-49B9-816A-D792BBAEDDC1}"/>
    <cellStyle name="Normal 3 2 3 2" xfId="24" xr:uid="{D9CBB665-65FE-401C-BE1D-6F0E01AEA624}"/>
    <cellStyle name="Normal 3 2 3 3" xfId="31" xr:uid="{AF54D02E-D4FC-48D3-A621-B99D492A2561}"/>
    <cellStyle name="Normal 3 2 3 4" xfId="17" xr:uid="{06F1184E-9572-478D-BE86-152A546E0406}"/>
    <cellStyle name="Normal 3 2 4" xfId="19" xr:uid="{1CEBA441-CD3B-4230-9845-6E68CD385C6A}"/>
    <cellStyle name="Normal 3 2 5" xfId="26" xr:uid="{DC30ED0B-133D-45A0-A094-FCB1B712C30E}"/>
    <cellStyle name="Normal 3 2 6" xfId="12" xr:uid="{C60E17C6-8FA9-4824-884C-0A8F579FCBF6}"/>
    <cellStyle name="Normal 3 3" xfId="3" xr:uid="{E0647A80-D5D8-4315-A031-9DB9C6F8ED5D}"/>
    <cellStyle name="Normal 3 3 2" xfId="10" xr:uid="{FC852060-71B4-499C-B1C0-58EB48410F18}"/>
    <cellStyle name="Normal 3 3 2 2" xfId="20" xr:uid="{82B32A4B-45D8-4455-BB2D-2E2F15FB1F81}"/>
    <cellStyle name="Normal 3 3 3" xfId="27" xr:uid="{578C2477-1305-40E2-89B4-612DEC3DF26A}"/>
    <cellStyle name="Normal 3 3 4" xfId="13" xr:uid="{F88BB24C-3B0A-49A3-A27C-95DFBC034ED8}"/>
    <cellStyle name="Normal 3 4" xfId="5" xr:uid="{17C121DB-468B-415C-AC0B-FDBEEE65BDF4}"/>
    <cellStyle name="Normal 3 4 2" xfId="21" xr:uid="{29809A88-8033-419E-B0F9-9FCB2594E779}"/>
    <cellStyle name="Normal 3 4 3" xfId="28" xr:uid="{F4E57804-C852-41B2-9291-1D602B9BE2A4}"/>
    <cellStyle name="Normal 3 4 4" xfId="14" xr:uid="{4568E092-B1D7-47FF-9B03-F9CD0DA0EABE}"/>
    <cellStyle name="Normal 3 5" xfId="7" xr:uid="{E2458971-F50D-438A-8CA1-2304CE67FB45}"/>
    <cellStyle name="Normal 3 5 2" xfId="23" xr:uid="{4FE791FD-49E5-40DB-A6B0-8F4DE31500C9}"/>
    <cellStyle name="Normal 3 5 3" xfId="30" xr:uid="{88B18014-CD4C-4303-8DAC-E5897AF80D94}"/>
    <cellStyle name="Normal 3 5 4" xfId="16" xr:uid="{48123D96-06E5-41E1-B66F-32218739E9B2}"/>
    <cellStyle name="Normal 3 6" xfId="18" xr:uid="{B2D51DDF-8289-42E9-AABC-9D0ED225DE61}"/>
    <cellStyle name="Normal 3 7" xfId="25" xr:uid="{CE1C5928-D5C7-43C7-8FC1-F883DAF99A6E}"/>
    <cellStyle name="Normal 3 8" xfId="11" xr:uid="{4A3734D3-44CC-4776-9565-0FFA522E126C}"/>
  </cellStyles>
  <dxfs count="2">
    <dxf>
      <font>
        <strike val="0"/>
      </font>
      <fill>
        <patternFill>
          <bgColor rgb="FFFF0000"/>
        </patternFill>
      </fill>
    </dxf>
    <dxf>
      <font>
        <strike val="0"/>
      </font>
      <fill>
        <patternFill>
          <bgColor rgb="FFFF0000"/>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2</xdr:row>
      <xdr:rowOff>45720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8780" cy="5029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2</xdr:row>
      <xdr:rowOff>45720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8780" cy="50292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25</xdr:row>
          <xdr:rowOff>219075</xdr:rowOff>
        </xdr:from>
        <xdr:to>
          <xdr:col>0</xdr:col>
          <xdr:colOff>695325</xdr:colOff>
          <xdr:row>27</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26</xdr:row>
          <xdr:rowOff>190500</xdr:rowOff>
        </xdr:from>
        <xdr:to>
          <xdr:col>0</xdr:col>
          <xdr:colOff>695325</xdr:colOff>
          <xdr:row>28</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180975</xdr:rowOff>
        </xdr:from>
        <xdr:to>
          <xdr:col>0</xdr:col>
          <xdr:colOff>695325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topLeftCell="A3" workbookViewId="0">
      <selection activeCell="C9" sqref="C9"/>
    </sheetView>
  </sheetViews>
  <sheetFormatPr defaultColWidth="8.59765625" defaultRowHeight="15" x14ac:dyDescent="0.2"/>
  <cols>
    <col min="3" max="3" width="13.09765625" customWidth="1"/>
  </cols>
  <sheetData>
    <row r="1" spans="1:3" x14ac:dyDescent="0.2">
      <c r="A1" t="s">
        <v>118</v>
      </c>
      <c r="C1" t="s">
        <v>118</v>
      </c>
    </row>
    <row r="2" spans="1:3" x14ac:dyDescent="0.2">
      <c r="A2" t="s">
        <v>119</v>
      </c>
      <c r="C2" t="s">
        <v>119</v>
      </c>
    </row>
    <row r="3" spans="1:3" ht="21" customHeight="1" x14ac:dyDescent="0.2">
      <c r="C3" t="s">
        <v>120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C24"/>
  <sheetViews>
    <sheetView tabSelected="1" zoomScaleNormal="100" workbookViewId="0">
      <selection activeCell="A6" sqref="A6:C6"/>
    </sheetView>
  </sheetViews>
  <sheetFormatPr defaultColWidth="8.59765625" defaultRowHeight="15" x14ac:dyDescent="0.2"/>
  <cols>
    <col min="1" max="1" width="19.3984375" style="43" customWidth="1"/>
    <col min="2" max="2" width="8.69921875" style="42"/>
    <col min="3" max="3" width="58.5" style="43" customWidth="1"/>
  </cols>
  <sheetData>
    <row r="1" spans="1:3" ht="21" x14ac:dyDescent="0.2">
      <c r="C1" s="102"/>
    </row>
    <row r="6" spans="1:3" ht="59.25" customHeight="1" x14ac:dyDescent="0.45">
      <c r="A6" s="104" t="s">
        <v>646</v>
      </c>
      <c r="B6" s="104"/>
      <c r="C6" s="104"/>
    </row>
    <row r="7" spans="1:3" ht="15.75" x14ac:dyDescent="0.25">
      <c r="A7" s="44" t="s">
        <v>674</v>
      </c>
    </row>
    <row r="8" spans="1:3" ht="15.75" x14ac:dyDescent="0.25">
      <c r="A8" s="44" t="s">
        <v>675</v>
      </c>
    </row>
    <row r="9" spans="1:3" ht="15.75" x14ac:dyDescent="0.25">
      <c r="A9" s="44" t="s">
        <v>590</v>
      </c>
    </row>
    <row r="10" spans="1:3" ht="15.75" x14ac:dyDescent="0.25">
      <c r="A10" s="44"/>
    </row>
    <row r="12" spans="1:3" ht="15.75" x14ac:dyDescent="0.25">
      <c r="A12" s="91" t="s">
        <v>643</v>
      </c>
      <c r="B12" s="90"/>
      <c r="C12" s="90"/>
    </row>
    <row r="13" spans="1:3" x14ac:dyDescent="0.2">
      <c r="A13" s="105" t="s">
        <v>629</v>
      </c>
      <c r="B13" s="105"/>
      <c r="C13" s="105"/>
    </row>
    <row r="14" spans="1:3" x14ac:dyDescent="0.2">
      <c r="A14" s="92"/>
      <c r="B14" s="90"/>
      <c r="C14" s="90"/>
    </row>
    <row r="15" spans="1:3" ht="22.5" customHeight="1" x14ac:dyDescent="0.2">
      <c r="A15" s="106" t="s">
        <v>644</v>
      </c>
      <c r="B15" s="106"/>
      <c r="C15" s="106"/>
    </row>
    <row r="16" spans="1:3" x14ac:dyDescent="0.2">
      <c r="A16" s="103"/>
      <c r="B16" s="103"/>
      <c r="C16" s="103"/>
    </row>
    <row r="17" spans="1:3" ht="15.75" thickBot="1" x14ac:dyDescent="0.3">
      <c r="A17" s="45" t="s">
        <v>577</v>
      </c>
      <c r="B17" s="46"/>
      <c r="C17" s="46"/>
    </row>
    <row r="18" spans="1:3" ht="15.75" thickBot="1" x14ac:dyDescent="0.3">
      <c r="A18" s="47" t="s">
        <v>578</v>
      </c>
      <c r="B18" s="48" t="s">
        <v>579</v>
      </c>
      <c r="C18" s="54" t="s">
        <v>588</v>
      </c>
    </row>
    <row r="19" spans="1:3" ht="15.75" thickBot="1" x14ac:dyDescent="0.3">
      <c r="A19" s="49">
        <v>43958</v>
      </c>
      <c r="B19" s="64">
        <v>1</v>
      </c>
      <c r="C19" s="51" t="s">
        <v>591</v>
      </c>
    </row>
    <row r="20" spans="1:3" ht="15.75" thickBot="1" x14ac:dyDescent="0.3">
      <c r="A20" s="49">
        <v>44095</v>
      </c>
      <c r="B20" s="50">
        <v>1.1000000000000001</v>
      </c>
      <c r="C20" s="55" t="s">
        <v>592</v>
      </c>
    </row>
    <row r="21" spans="1:3" ht="15.75" thickBot="1" x14ac:dyDescent="0.25">
      <c r="A21" s="66">
        <v>44351</v>
      </c>
      <c r="B21" s="61">
        <v>2</v>
      </c>
      <c r="C21" s="100" t="s">
        <v>631</v>
      </c>
    </row>
    <row r="22" spans="1:3" ht="15.75" thickBot="1" x14ac:dyDescent="0.25">
      <c r="A22" s="66">
        <v>44715</v>
      </c>
      <c r="B22" s="70">
        <v>3</v>
      </c>
      <c r="C22" s="100" t="s">
        <v>632</v>
      </c>
    </row>
    <row r="23" spans="1:3" ht="15.75" thickBot="1" x14ac:dyDescent="0.25">
      <c r="A23" s="66">
        <v>45079</v>
      </c>
      <c r="B23" s="70">
        <v>4</v>
      </c>
      <c r="C23" s="100" t="s">
        <v>633</v>
      </c>
    </row>
    <row r="24" spans="1:3" ht="15.75" x14ac:dyDescent="0.25">
      <c r="A24" s="97" t="s">
        <v>630</v>
      </c>
    </row>
  </sheetData>
  <mergeCells count="4">
    <mergeCell ref="A16:C16"/>
    <mergeCell ref="A6:C6"/>
    <mergeCell ref="A13:C13"/>
    <mergeCell ref="A15:C15"/>
  </mergeCells>
  <phoneticPr fontId="38"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8587-4544-4EBB-A896-5BA8E778B22D}">
  <sheetPr>
    <tabColor rgb="FFFF0000"/>
  </sheetPr>
  <dimension ref="A1:C11"/>
  <sheetViews>
    <sheetView zoomScaleNormal="100" workbookViewId="0">
      <selection activeCell="A4" sqref="A4:C4"/>
    </sheetView>
  </sheetViews>
  <sheetFormatPr defaultColWidth="8.59765625" defaultRowHeight="15" x14ac:dyDescent="0.2"/>
  <cols>
    <col min="1" max="1" width="19.3984375" style="43" customWidth="1"/>
    <col min="2" max="2" width="8.59765625" style="42"/>
    <col min="3" max="3" width="58.5" style="43" customWidth="1"/>
  </cols>
  <sheetData>
    <row r="1" spans="1:3" ht="21" x14ac:dyDescent="0.2">
      <c r="C1" s="67"/>
    </row>
    <row r="4" spans="1:3" ht="28.5" x14ac:dyDescent="0.45">
      <c r="A4" s="107" t="s">
        <v>635</v>
      </c>
      <c r="B4" s="107"/>
      <c r="C4" s="107"/>
    </row>
    <row r="5" spans="1:3" ht="15.75" thickBot="1" x14ac:dyDescent="0.3">
      <c r="A5" s="97" t="s">
        <v>634</v>
      </c>
      <c r="B5" s="45"/>
      <c r="C5" s="45"/>
    </row>
    <row r="6" spans="1:3" ht="15.75" thickBot="1" x14ac:dyDescent="0.3">
      <c r="A6" s="99" t="s">
        <v>578</v>
      </c>
      <c r="B6" s="96" t="s">
        <v>579</v>
      </c>
      <c r="C6" s="96" t="s">
        <v>588</v>
      </c>
    </row>
    <row r="7" spans="1:3" ht="15.75" thickBot="1" x14ac:dyDescent="0.3">
      <c r="A7" s="94">
        <v>43958</v>
      </c>
      <c r="B7" s="98">
        <v>1</v>
      </c>
      <c r="C7" s="95" t="s">
        <v>591</v>
      </c>
    </row>
    <row r="8" spans="1:3" ht="15.75" thickBot="1" x14ac:dyDescent="0.3">
      <c r="A8" s="94">
        <v>44095</v>
      </c>
      <c r="B8" s="93">
        <v>1.1000000000000001</v>
      </c>
      <c r="C8" s="95" t="s">
        <v>592</v>
      </c>
    </row>
    <row r="9" spans="1:3" ht="210.75" thickBot="1" x14ac:dyDescent="0.25">
      <c r="A9" s="66">
        <v>44351</v>
      </c>
      <c r="B9" s="70">
        <v>2</v>
      </c>
      <c r="C9" s="100" t="s">
        <v>638</v>
      </c>
    </row>
    <row r="10" spans="1:3" ht="180.75" thickBot="1" x14ac:dyDescent="0.25">
      <c r="A10" s="66">
        <v>44715</v>
      </c>
      <c r="B10" s="70">
        <v>3</v>
      </c>
      <c r="C10" s="100" t="s">
        <v>647</v>
      </c>
    </row>
    <row r="11" spans="1:3" ht="255.75" thickBot="1" x14ac:dyDescent="0.25">
      <c r="A11" s="66">
        <v>45079</v>
      </c>
      <c r="B11" s="70">
        <v>4</v>
      </c>
      <c r="C11" s="100" t="s">
        <v>648</v>
      </c>
    </row>
  </sheetData>
  <mergeCells count="1">
    <mergeCell ref="A4:C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T277"/>
  <sheetViews>
    <sheetView zoomScale="90" zoomScaleNormal="90" workbookViewId="0">
      <pane ySplit="1" topLeftCell="A2" activePane="bottomLeft" state="frozen"/>
      <selection pane="bottomLeft" activeCell="C2" sqref="C2:I2"/>
    </sheetView>
  </sheetViews>
  <sheetFormatPr defaultColWidth="6.59765625" defaultRowHeight="15" customHeight="1" x14ac:dyDescent="0.2"/>
  <cols>
    <col min="1" max="1" width="8.69921875" customWidth="1"/>
    <col min="2" max="2" width="55.19921875" style="1" bestFit="1" customWidth="1"/>
    <col min="3" max="3" width="19.8984375" style="5" customWidth="1"/>
    <col min="4" max="4" width="17.69921875" style="5" customWidth="1"/>
    <col min="5" max="5" width="18.8984375" style="5" customWidth="1"/>
    <col min="6" max="6" width="24.69921875" style="6" customWidth="1"/>
    <col min="7" max="7" width="27.8984375" style="7" bestFit="1" customWidth="1"/>
    <col min="8" max="8" width="15.09765625" style="30" bestFit="1" customWidth="1"/>
    <col min="9" max="9" width="18.5" style="30" customWidth="1"/>
    <col min="10" max="10" width="9.19921875" style="88" bestFit="1" customWidth="1"/>
    <col min="11" max="11" width="8.796875" style="88" bestFit="1" customWidth="1"/>
    <col min="12" max="12" width="7.69921875" style="89" customWidth="1"/>
    <col min="13" max="176" width="6.59765625" style="1" customWidth="1"/>
  </cols>
  <sheetData>
    <row r="1" spans="1:12" ht="62.25" customHeight="1" x14ac:dyDescent="0.2">
      <c r="A1" s="128" t="s">
        <v>649</v>
      </c>
      <c r="B1" s="128"/>
      <c r="C1" s="128"/>
      <c r="D1" s="128"/>
      <c r="E1" s="128"/>
      <c r="F1" s="128"/>
      <c r="G1" s="101" t="s">
        <v>645</v>
      </c>
      <c r="H1" s="101" t="s">
        <v>676</v>
      </c>
      <c r="I1" s="29"/>
      <c r="J1" s="71" t="s">
        <v>624</v>
      </c>
      <c r="K1" s="72" t="s">
        <v>625</v>
      </c>
      <c r="L1" s="73" t="s">
        <v>626</v>
      </c>
    </row>
    <row r="2" spans="1:12" ht="29.1" customHeight="1" x14ac:dyDescent="0.2">
      <c r="A2" s="144" t="s">
        <v>585</v>
      </c>
      <c r="B2" s="145"/>
      <c r="C2" s="134" t="s">
        <v>0</v>
      </c>
      <c r="D2" s="135"/>
      <c r="E2" s="135"/>
      <c r="F2" s="135"/>
      <c r="G2" s="135"/>
      <c r="H2" s="135"/>
      <c r="I2" s="136"/>
      <c r="J2" s="74"/>
      <c r="K2" s="75"/>
      <c r="L2" s="76"/>
    </row>
    <row r="3" spans="1:12" ht="36" customHeight="1" x14ac:dyDescent="0.2">
      <c r="A3" s="140" t="s">
        <v>1</v>
      </c>
      <c r="B3" s="141"/>
      <c r="C3" s="141"/>
      <c r="D3" s="141"/>
      <c r="E3" s="141"/>
      <c r="F3" s="141"/>
      <c r="G3" s="141"/>
      <c r="H3" s="141"/>
      <c r="I3" s="142"/>
      <c r="J3" s="77"/>
      <c r="K3" s="78"/>
      <c r="L3" s="79"/>
    </row>
    <row r="4" spans="1:12" ht="246.75" customHeight="1" x14ac:dyDescent="0.2">
      <c r="A4" s="137" t="s">
        <v>650</v>
      </c>
      <c r="B4" s="138"/>
      <c r="C4" s="138"/>
      <c r="D4" s="138"/>
      <c r="E4" s="138"/>
      <c r="F4" s="138"/>
      <c r="G4" s="138"/>
      <c r="H4" s="138"/>
      <c r="I4" s="139"/>
      <c r="J4" s="80"/>
      <c r="K4" s="81"/>
      <c r="L4" s="76"/>
    </row>
    <row r="5" spans="1:12" ht="24" customHeight="1" x14ac:dyDescent="0.2">
      <c r="A5" s="131" t="s">
        <v>556</v>
      </c>
      <c r="B5" s="132"/>
      <c r="C5" s="132"/>
      <c r="D5" s="132"/>
      <c r="E5" s="132"/>
      <c r="F5" s="132"/>
      <c r="G5" s="132"/>
      <c r="H5" s="132"/>
      <c r="I5" s="133"/>
      <c r="J5" s="110" t="s">
        <v>627</v>
      </c>
      <c r="K5" s="110"/>
      <c r="L5" s="82">
        <f>SUM(L44,L60,L76,L90,L121,L142,L157,L182,L208,L221,L232,L259,L276)</f>
        <v>0</v>
      </c>
    </row>
    <row r="6" spans="1:12" ht="17.25" customHeight="1" x14ac:dyDescent="0.2">
      <c r="A6" s="22" t="s">
        <v>2</v>
      </c>
      <c r="B6" s="34" t="s">
        <v>559</v>
      </c>
      <c r="C6" s="115" t="s">
        <v>559</v>
      </c>
      <c r="D6" s="116"/>
      <c r="E6" s="116"/>
      <c r="F6" s="116"/>
      <c r="G6" s="116"/>
      <c r="H6" s="116"/>
      <c r="I6" s="117"/>
      <c r="J6" s="80"/>
      <c r="K6" s="81"/>
      <c r="L6" s="76"/>
    </row>
    <row r="7" spans="1:12" ht="22.35" customHeight="1" x14ac:dyDescent="0.2">
      <c r="A7" s="22" t="s">
        <v>3</v>
      </c>
      <c r="B7" s="34" t="s">
        <v>560</v>
      </c>
      <c r="C7" s="115" t="s">
        <v>561</v>
      </c>
      <c r="D7" s="116"/>
      <c r="E7" s="116"/>
      <c r="F7" s="116"/>
      <c r="G7" s="116"/>
      <c r="H7" s="116"/>
      <c r="I7" s="117"/>
      <c r="J7" s="80"/>
      <c r="K7" s="81"/>
      <c r="L7" s="76"/>
    </row>
    <row r="8" spans="1:12" ht="22.35" customHeight="1" x14ac:dyDescent="0.2">
      <c r="A8" s="22" t="s">
        <v>4</v>
      </c>
      <c r="B8" s="34" t="s">
        <v>368</v>
      </c>
      <c r="C8" s="112" t="s">
        <v>368</v>
      </c>
      <c r="D8" s="118"/>
      <c r="E8" s="118"/>
      <c r="F8" s="118"/>
      <c r="G8" s="118"/>
      <c r="H8" s="118"/>
      <c r="I8" s="119"/>
      <c r="J8" s="80"/>
      <c r="K8" s="81"/>
      <c r="L8" s="76"/>
    </row>
    <row r="9" spans="1:12" ht="22.35" customHeight="1" x14ac:dyDescent="0.2">
      <c r="A9" s="22" t="s">
        <v>5</v>
      </c>
      <c r="B9" s="34" t="s">
        <v>369</v>
      </c>
      <c r="C9" s="112" t="s">
        <v>369</v>
      </c>
      <c r="D9" s="113"/>
      <c r="E9" s="113"/>
      <c r="F9" s="113"/>
      <c r="G9" s="113"/>
      <c r="H9" s="113"/>
      <c r="I9" s="114"/>
      <c r="J9" s="80"/>
      <c r="K9" s="81"/>
      <c r="L9" s="76"/>
    </row>
    <row r="10" spans="1:12" ht="22.35" customHeight="1" x14ac:dyDescent="0.2">
      <c r="A10" s="22" t="s">
        <v>7</v>
      </c>
      <c r="B10" s="34" t="s">
        <v>370</v>
      </c>
      <c r="C10" s="112" t="s">
        <v>370</v>
      </c>
      <c r="D10" s="113"/>
      <c r="E10" s="113"/>
      <c r="F10" s="113"/>
      <c r="G10" s="113"/>
      <c r="H10" s="113"/>
      <c r="I10" s="114"/>
      <c r="J10" s="80"/>
      <c r="K10" s="81"/>
      <c r="L10" s="76"/>
    </row>
    <row r="11" spans="1:12" ht="22.35" customHeight="1" x14ac:dyDescent="0.2">
      <c r="A11" s="22" t="s">
        <v>8</v>
      </c>
      <c r="B11" s="34" t="s">
        <v>371</v>
      </c>
      <c r="C11" s="112" t="s">
        <v>371</v>
      </c>
      <c r="D11" s="113"/>
      <c r="E11" s="113"/>
      <c r="F11" s="113"/>
      <c r="G11" s="113"/>
      <c r="H11" s="113"/>
      <c r="I11" s="114"/>
      <c r="J11" s="80"/>
      <c r="K11" s="81"/>
      <c r="L11" s="76"/>
    </row>
    <row r="12" spans="1:12" ht="22.35" customHeight="1" x14ac:dyDescent="0.2">
      <c r="A12" s="22" t="s">
        <v>9</v>
      </c>
      <c r="B12" s="34" t="s">
        <v>128</v>
      </c>
      <c r="C12" s="112" t="s">
        <v>129</v>
      </c>
      <c r="D12" s="113"/>
      <c r="E12" s="113"/>
      <c r="F12" s="113"/>
      <c r="G12" s="113"/>
      <c r="H12" s="113"/>
      <c r="I12" s="114"/>
      <c r="J12" s="80"/>
      <c r="K12" s="81"/>
      <c r="L12" s="76"/>
    </row>
    <row r="13" spans="1:12" ht="22.35" customHeight="1" x14ac:dyDescent="0.2">
      <c r="A13" s="22" t="s">
        <v>10</v>
      </c>
      <c r="B13" s="34" t="s">
        <v>130</v>
      </c>
      <c r="C13" s="112" t="s">
        <v>131</v>
      </c>
      <c r="D13" s="113"/>
      <c r="E13" s="113"/>
      <c r="F13" s="113"/>
      <c r="G13" s="113"/>
      <c r="H13" s="113"/>
      <c r="I13" s="114"/>
      <c r="J13" s="80"/>
      <c r="K13" s="81"/>
      <c r="L13" s="76"/>
    </row>
    <row r="14" spans="1:12" ht="22.35" customHeight="1" x14ac:dyDescent="0.2">
      <c r="A14" s="22" t="s">
        <v>12</v>
      </c>
      <c r="B14" s="34" t="s">
        <v>6</v>
      </c>
      <c r="C14" s="112" t="s">
        <v>557</v>
      </c>
      <c r="D14" s="113"/>
      <c r="E14" s="113"/>
      <c r="F14" s="113"/>
      <c r="G14" s="113"/>
      <c r="H14" s="113"/>
      <c r="I14" s="114"/>
      <c r="J14" s="80"/>
      <c r="K14" s="81"/>
      <c r="L14" s="76"/>
    </row>
    <row r="15" spans="1:12" ht="22.35" customHeight="1" x14ac:dyDescent="0.2">
      <c r="A15" s="22" t="s">
        <v>13</v>
      </c>
      <c r="B15" s="34" t="s">
        <v>562</v>
      </c>
      <c r="C15" s="112" t="s">
        <v>140</v>
      </c>
      <c r="D15" s="113"/>
      <c r="E15" s="113"/>
      <c r="F15" s="113"/>
      <c r="G15" s="113"/>
      <c r="H15" s="113"/>
      <c r="I15" s="114"/>
      <c r="J15" s="80"/>
      <c r="K15" s="81"/>
      <c r="L15" s="76"/>
    </row>
    <row r="16" spans="1:12" ht="22.35" customHeight="1" x14ac:dyDescent="0.2">
      <c r="A16" s="22" t="s">
        <v>14</v>
      </c>
      <c r="B16" s="34" t="s">
        <v>563</v>
      </c>
      <c r="C16" s="112" t="s">
        <v>137</v>
      </c>
      <c r="D16" s="113"/>
      <c r="E16" s="113"/>
      <c r="F16" s="113"/>
      <c r="G16" s="113"/>
      <c r="H16" s="113"/>
      <c r="I16" s="114"/>
      <c r="J16" s="80"/>
      <c r="K16" s="81"/>
      <c r="L16" s="76"/>
    </row>
    <row r="17" spans="1:12" ht="31.5" customHeight="1" x14ac:dyDescent="0.2">
      <c r="A17" s="22" t="s">
        <v>15</v>
      </c>
      <c r="B17" s="34" t="s">
        <v>372</v>
      </c>
      <c r="C17" s="112" t="s">
        <v>642</v>
      </c>
      <c r="D17" s="113"/>
      <c r="E17" s="113"/>
      <c r="F17" s="113"/>
      <c r="G17" s="113"/>
      <c r="H17" s="113"/>
      <c r="I17" s="114"/>
      <c r="J17" s="80"/>
      <c r="K17" s="81"/>
      <c r="L17" s="76"/>
    </row>
    <row r="18" spans="1:12" ht="22.35" customHeight="1" x14ac:dyDescent="0.2">
      <c r="A18" s="22" t="s">
        <v>373</v>
      </c>
      <c r="B18" s="34" t="s">
        <v>564</v>
      </c>
      <c r="C18" s="112" t="s">
        <v>565</v>
      </c>
      <c r="D18" s="113"/>
      <c r="E18" s="113"/>
      <c r="F18" s="113"/>
      <c r="G18" s="113"/>
      <c r="H18" s="113"/>
      <c r="I18" s="114"/>
      <c r="J18" s="80"/>
      <c r="K18" s="81"/>
      <c r="L18" s="76"/>
    </row>
    <row r="19" spans="1:12" ht="22.35" customHeight="1" x14ac:dyDescent="0.2">
      <c r="A19" s="22" t="s">
        <v>374</v>
      </c>
      <c r="B19" s="34" t="s">
        <v>566</v>
      </c>
      <c r="C19" s="112" t="s">
        <v>566</v>
      </c>
      <c r="D19" s="113"/>
      <c r="E19" s="113"/>
      <c r="F19" s="113"/>
      <c r="G19" s="113"/>
      <c r="H19" s="113"/>
      <c r="I19" s="114"/>
      <c r="J19" s="80"/>
      <c r="K19" s="81"/>
      <c r="L19" s="76"/>
    </row>
    <row r="20" spans="1:12" ht="22.35" customHeight="1" x14ac:dyDescent="0.2">
      <c r="A20" s="22" t="s">
        <v>375</v>
      </c>
      <c r="B20" s="34" t="s">
        <v>567</v>
      </c>
      <c r="C20" s="112" t="s">
        <v>568</v>
      </c>
      <c r="D20" s="113"/>
      <c r="E20" s="113"/>
      <c r="F20" s="113"/>
      <c r="G20" s="113"/>
      <c r="H20" s="113"/>
      <c r="I20" s="114"/>
      <c r="J20" s="80"/>
      <c r="K20" s="81"/>
      <c r="L20" s="76"/>
    </row>
    <row r="21" spans="1:12" ht="22.35" customHeight="1" x14ac:dyDescent="0.2">
      <c r="A21" s="22" t="s">
        <v>376</v>
      </c>
      <c r="B21" s="34" t="s">
        <v>569</v>
      </c>
      <c r="C21" s="115" t="s">
        <v>569</v>
      </c>
      <c r="D21" s="116"/>
      <c r="E21" s="116"/>
      <c r="F21" s="116"/>
      <c r="G21" s="116"/>
      <c r="H21" s="116"/>
      <c r="I21" s="117"/>
      <c r="J21" s="80"/>
      <c r="K21" s="81"/>
      <c r="L21" s="76"/>
    </row>
    <row r="22" spans="1:12" ht="22.35" customHeight="1" x14ac:dyDescent="0.2">
      <c r="A22" s="22" t="s">
        <v>377</v>
      </c>
      <c r="B22" s="34" t="s">
        <v>570</v>
      </c>
      <c r="C22" s="115" t="s">
        <v>570</v>
      </c>
      <c r="D22" s="116"/>
      <c r="E22" s="116"/>
      <c r="F22" s="116"/>
      <c r="G22" s="116"/>
      <c r="H22" s="116"/>
      <c r="I22" s="117"/>
      <c r="J22" s="80"/>
      <c r="K22" s="81"/>
      <c r="L22" s="76"/>
    </row>
    <row r="23" spans="1:12" ht="22.35" customHeight="1" x14ac:dyDescent="0.2">
      <c r="A23" s="22" t="s">
        <v>378</v>
      </c>
      <c r="B23" s="34" t="s">
        <v>571</v>
      </c>
      <c r="C23" s="115" t="s">
        <v>572</v>
      </c>
      <c r="D23" s="116"/>
      <c r="E23" s="116"/>
      <c r="F23" s="116"/>
      <c r="G23" s="116"/>
      <c r="H23" s="116"/>
      <c r="I23" s="117"/>
      <c r="J23" s="80"/>
      <c r="K23" s="81"/>
      <c r="L23" s="76"/>
    </row>
    <row r="24" spans="1:12" ht="22.35" customHeight="1" x14ac:dyDescent="0.2">
      <c r="A24" s="22" t="s">
        <v>379</v>
      </c>
      <c r="B24" s="34" t="s">
        <v>573</v>
      </c>
      <c r="C24" s="115" t="s">
        <v>11</v>
      </c>
      <c r="D24" s="116"/>
      <c r="E24" s="116"/>
      <c r="F24" s="116"/>
      <c r="G24" s="116"/>
      <c r="H24" s="116"/>
      <c r="I24" s="117"/>
      <c r="J24" s="80"/>
      <c r="K24" s="81"/>
      <c r="L24" s="76"/>
    </row>
    <row r="25" spans="1:12" s="1" customFormat="1" ht="22.35" customHeight="1" x14ac:dyDescent="0.2">
      <c r="A25" s="131" t="s">
        <v>600</v>
      </c>
      <c r="B25" s="132"/>
      <c r="C25" s="132"/>
      <c r="D25" s="132"/>
      <c r="E25" s="132"/>
      <c r="F25" s="132"/>
      <c r="G25" s="132"/>
      <c r="H25" s="132"/>
      <c r="I25" s="133"/>
      <c r="J25" s="80"/>
      <c r="K25" s="81"/>
      <c r="L25" s="76"/>
    </row>
    <row r="26" spans="1:12" s="1" customFormat="1" ht="22.35" customHeight="1" x14ac:dyDescent="0.2">
      <c r="A26" s="129" t="s">
        <v>101</v>
      </c>
      <c r="B26" s="129"/>
      <c r="C26" s="129"/>
      <c r="D26" s="129"/>
      <c r="E26" s="129"/>
      <c r="F26" s="129"/>
      <c r="G26" s="129"/>
      <c r="H26" s="31"/>
      <c r="I26" s="32"/>
      <c r="J26" s="80"/>
      <c r="K26" s="81"/>
      <c r="L26" s="76"/>
    </row>
    <row r="27" spans="1:12" s="1" customFormat="1" ht="20.100000000000001" customHeight="1" x14ac:dyDescent="0.2">
      <c r="A27" s="9"/>
      <c r="B27" s="10" t="s">
        <v>95</v>
      </c>
      <c r="C27" s="10"/>
      <c r="D27" s="10"/>
      <c r="E27" s="10"/>
      <c r="F27" s="10"/>
      <c r="G27" s="10"/>
      <c r="H27" s="10"/>
      <c r="I27" s="28"/>
      <c r="J27" s="80"/>
      <c r="K27" s="81"/>
      <c r="L27" s="76"/>
    </row>
    <row r="28" spans="1:12" s="1" customFormat="1" ht="20.100000000000001" customHeight="1" x14ac:dyDescent="0.2">
      <c r="A28" s="9"/>
      <c r="B28" s="10" t="s">
        <v>96</v>
      </c>
      <c r="C28" s="10"/>
      <c r="D28" s="10"/>
      <c r="E28" s="10"/>
      <c r="F28" s="10"/>
      <c r="G28" s="10"/>
      <c r="H28" s="10"/>
      <c r="I28" s="28"/>
      <c r="J28" s="80"/>
      <c r="K28" s="81"/>
      <c r="L28" s="76"/>
    </row>
    <row r="29" spans="1:12" s="1" customFormat="1" ht="20.100000000000001" customHeight="1" x14ac:dyDescent="0.2">
      <c r="A29" s="9"/>
      <c r="B29" s="10" t="s">
        <v>97</v>
      </c>
      <c r="C29" s="10"/>
      <c r="D29" s="10"/>
      <c r="E29" s="10"/>
      <c r="F29" s="10"/>
      <c r="G29" s="10"/>
      <c r="H29" s="10"/>
      <c r="I29" s="28"/>
      <c r="J29" s="80"/>
      <c r="K29" s="81"/>
      <c r="L29" s="76"/>
    </row>
    <row r="30" spans="1:12" s="1" customFormat="1" ht="20.100000000000001" customHeight="1" x14ac:dyDescent="0.2">
      <c r="A30" s="9"/>
      <c r="B30" s="62" t="s">
        <v>595</v>
      </c>
      <c r="C30" s="10"/>
      <c r="D30" s="10"/>
      <c r="E30" s="10"/>
      <c r="F30" s="10"/>
      <c r="G30" s="10"/>
      <c r="H30" s="10"/>
      <c r="I30" s="28"/>
      <c r="J30" s="80"/>
      <c r="K30" s="81"/>
      <c r="L30" s="76"/>
    </row>
    <row r="31" spans="1:12" s="1" customFormat="1" ht="20.100000000000001" customHeight="1" x14ac:dyDescent="0.2">
      <c r="A31" s="9"/>
      <c r="B31" s="62" t="s">
        <v>639</v>
      </c>
      <c r="C31" s="10"/>
      <c r="D31" s="10"/>
      <c r="E31" s="10"/>
      <c r="F31" s="10"/>
      <c r="G31" s="10"/>
      <c r="H31" s="10"/>
      <c r="I31" s="28"/>
      <c r="J31" s="80"/>
      <c r="K31" s="81"/>
      <c r="L31" s="76"/>
    </row>
    <row r="32" spans="1:12" s="1" customFormat="1" ht="20.100000000000001" customHeight="1" x14ac:dyDescent="0.2">
      <c r="A32" s="9"/>
      <c r="B32" s="62" t="s">
        <v>593</v>
      </c>
      <c r="C32" s="10"/>
      <c r="D32" s="10"/>
      <c r="E32" s="10"/>
      <c r="F32" s="10"/>
      <c r="G32" s="10"/>
      <c r="H32" s="10"/>
      <c r="I32" s="28"/>
      <c r="J32" s="80"/>
      <c r="K32" s="81"/>
      <c r="L32" s="76"/>
    </row>
    <row r="33" spans="1:12" s="1" customFormat="1" ht="20.100000000000001" customHeight="1" x14ac:dyDescent="0.2">
      <c r="A33" s="9"/>
      <c r="B33" s="62" t="s">
        <v>603</v>
      </c>
      <c r="C33" s="10"/>
      <c r="D33" s="10"/>
      <c r="E33" s="10"/>
      <c r="F33" s="10"/>
      <c r="G33" s="10"/>
      <c r="H33" s="10"/>
      <c r="I33" s="28"/>
      <c r="J33" s="80"/>
      <c r="K33" s="81"/>
      <c r="L33" s="76"/>
    </row>
    <row r="34" spans="1:12" s="1" customFormat="1" ht="20.100000000000001" customHeight="1" x14ac:dyDescent="0.2">
      <c r="A34" s="9"/>
      <c r="B34" s="10" t="s">
        <v>484</v>
      </c>
      <c r="C34" s="10"/>
      <c r="D34" s="10"/>
      <c r="E34" s="10"/>
      <c r="F34" s="10"/>
      <c r="G34" s="10"/>
      <c r="H34" s="10"/>
      <c r="I34" s="28"/>
      <c r="J34" s="80"/>
      <c r="K34" s="81"/>
      <c r="L34" s="76"/>
    </row>
    <row r="35" spans="1:12" s="1" customFormat="1" ht="20.100000000000001" customHeight="1" x14ac:dyDescent="0.2">
      <c r="A35" s="9"/>
      <c r="B35" s="10" t="s">
        <v>98</v>
      </c>
      <c r="C35" s="10"/>
      <c r="D35" s="10"/>
      <c r="E35" s="10"/>
      <c r="F35" s="10"/>
      <c r="G35" s="10"/>
      <c r="H35" s="10"/>
      <c r="I35" s="28"/>
      <c r="J35" s="80"/>
      <c r="K35" s="81"/>
      <c r="L35" s="76"/>
    </row>
    <row r="36" spans="1:12" s="1" customFormat="1" ht="20.100000000000001" customHeight="1" x14ac:dyDescent="0.2">
      <c r="A36" s="9"/>
      <c r="B36" s="10" t="s">
        <v>99</v>
      </c>
      <c r="C36" s="10"/>
      <c r="D36" s="10"/>
      <c r="E36" s="10"/>
      <c r="F36" s="10"/>
      <c r="G36" s="10"/>
      <c r="H36" s="10"/>
      <c r="I36" s="28"/>
      <c r="J36" s="80"/>
      <c r="K36" s="81"/>
      <c r="L36" s="76"/>
    </row>
    <row r="37" spans="1:12" s="1" customFormat="1" ht="20.100000000000001" customHeight="1" x14ac:dyDescent="0.2">
      <c r="A37" s="9"/>
      <c r="B37" s="10" t="s">
        <v>100</v>
      </c>
      <c r="C37" s="10"/>
      <c r="D37" s="10"/>
      <c r="E37" s="10"/>
      <c r="F37" s="10"/>
      <c r="G37" s="10"/>
      <c r="H37" s="10"/>
      <c r="I37" s="28"/>
      <c r="J37" s="80"/>
      <c r="K37" s="81"/>
      <c r="L37" s="76"/>
    </row>
    <row r="38" spans="1:12" s="1" customFormat="1" ht="20.100000000000001" customHeight="1" x14ac:dyDescent="0.2">
      <c r="A38" s="9"/>
      <c r="B38" s="10" t="s">
        <v>485</v>
      </c>
      <c r="C38" s="10"/>
      <c r="D38" s="10"/>
      <c r="E38" s="10"/>
      <c r="F38" s="10"/>
      <c r="G38" s="10"/>
      <c r="H38" s="10"/>
      <c r="I38" s="28"/>
      <c r="J38" s="80"/>
      <c r="K38" s="81"/>
      <c r="L38" s="76"/>
    </row>
    <row r="39" spans="1:12" s="1" customFormat="1" ht="20.100000000000001" customHeight="1" x14ac:dyDescent="0.2">
      <c r="A39" s="9"/>
      <c r="B39" s="130" t="s">
        <v>589</v>
      </c>
      <c r="C39" s="130"/>
      <c r="D39" s="130"/>
      <c r="E39" s="130"/>
      <c r="F39" s="130"/>
      <c r="G39" s="130"/>
      <c r="H39" s="10"/>
      <c r="I39" s="28"/>
      <c r="J39" s="80"/>
      <c r="K39" s="81"/>
      <c r="L39" s="76"/>
    </row>
    <row r="40" spans="1:12" s="1" customFormat="1" ht="75" customHeight="1" x14ac:dyDescent="0.2">
      <c r="A40" s="9"/>
      <c r="B40" s="11" t="s">
        <v>486</v>
      </c>
      <c r="C40" s="143"/>
      <c r="D40" s="143"/>
      <c r="E40" s="143"/>
      <c r="F40" s="143"/>
      <c r="G40" s="143"/>
      <c r="H40" s="143"/>
      <c r="I40" s="143"/>
      <c r="J40" s="80"/>
      <c r="K40" s="81"/>
      <c r="L40" s="76"/>
    </row>
    <row r="41" spans="1:12" s="1" customFormat="1" ht="42" customHeight="1" x14ac:dyDescent="0.2">
      <c r="A41" s="9"/>
      <c r="B41" s="11" t="s">
        <v>117</v>
      </c>
      <c r="C41" s="143"/>
      <c r="D41" s="143"/>
      <c r="E41" s="143"/>
      <c r="F41" s="143"/>
      <c r="G41" s="143"/>
      <c r="H41" s="143"/>
      <c r="I41" s="143"/>
      <c r="J41" s="80"/>
      <c r="K41" s="81"/>
      <c r="L41" s="76"/>
    </row>
    <row r="42" spans="1:12" s="1" customFormat="1" ht="36" customHeight="1" x14ac:dyDescent="0.2">
      <c r="A42" s="140" t="s">
        <v>16</v>
      </c>
      <c r="B42" s="141"/>
      <c r="C42" s="141"/>
      <c r="D42" s="141"/>
      <c r="E42" s="141"/>
      <c r="F42" s="141"/>
      <c r="G42" s="141"/>
      <c r="H42" s="141"/>
      <c r="I42" s="142"/>
      <c r="J42" s="80"/>
      <c r="K42" s="81"/>
      <c r="L42" s="76"/>
    </row>
    <row r="43" spans="1:12" s="1" customFormat="1" ht="216" customHeight="1" x14ac:dyDescent="0.2">
      <c r="A43" s="137" t="s">
        <v>673</v>
      </c>
      <c r="B43" s="138"/>
      <c r="C43" s="138"/>
      <c r="D43" s="138"/>
      <c r="E43" s="138"/>
      <c r="F43" s="138"/>
      <c r="G43" s="138"/>
      <c r="H43" s="138"/>
      <c r="I43" s="139"/>
      <c r="J43" s="80"/>
      <c r="K43" s="81"/>
      <c r="L43" s="76"/>
    </row>
    <row r="44" spans="1:12" s="1" customFormat="1" ht="54" x14ac:dyDescent="0.2">
      <c r="A44" s="120" t="s">
        <v>19</v>
      </c>
      <c r="B44" s="120"/>
      <c r="C44" s="2" t="s">
        <v>574</v>
      </c>
      <c r="D44" s="2" t="s">
        <v>575</v>
      </c>
      <c r="E44" s="2" t="s">
        <v>104</v>
      </c>
      <c r="F44" s="2" t="s">
        <v>17</v>
      </c>
      <c r="G44" s="2" t="s">
        <v>18</v>
      </c>
      <c r="H44" s="2" t="s">
        <v>353</v>
      </c>
      <c r="I44" s="2" t="s">
        <v>380</v>
      </c>
      <c r="J44" s="108" t="s">
        <v>628</v>
      </c>
      <c r="K44" s="109"/>
      <c r="L44" s="83">
        <f>SUM(L45:L59)</f>
        <v>0</v>
      </c>
    </row>
    <row r="45" spans="1:12" s="1" customFormat="1" ht="77.25" customHeight="1" x14ac:dyDescent="0.2">
      <c r="A45" s="8" t="s">
        <v>166</v>
      </c>
      <c r="B45" s="16" t="s">
        <v>296</v>
      </c>
      <c r="C45" s="147"/>
      <c r="D45" s="148"/>
      <c r="E45" s="148"/>
      <c r="F45" s="17"/>
      <c r="G45" s="56" t="s">
        <v>381</v>
      </c>
      <c r="H45" s="35">
        <v>22</v>
      </c>
      <c r="I45" s="36" t="s">
        <v>382</v>
      </c>
      <c r="J45" s="84"/>
      <c r="K45" s="84"/>
      <c r="L45" s="85">
        <f t="shared" ref="L45:L59" si="0">J45*K45</f>
        <v>0</v>
      </c>
    </row>
    <row r="46" spans="1:12" s="1" customFormat="1" ht="54" customHeight="1" x14ac:dyDescent="0.2">
      <c r="A46" s="8" t="s">
        <v>22</v>
      </c>
      <c r="B46" s="37" t="s">
        <v>20</v>
      </c>
      <c r="C46" s="146"/>
      <c r="D46" s="146"/>
      <c r="E46" s="146"/>
      <c r="F46" s="146"/>
      <c r="G46" s="56" t="s">
        <v>21</v>
      </c>
      <c r="H46" s="35"/>
      <c r="I46" s="36"/>
      <c r="J46" s="84"/>
      <c r="K46" s="84"/>
      <c r="L46" s="85">
        <f t="shared" si="0"/>
        <v>0</v>
      </c>
    </row>
    <row r="47" spans="1:12" s="1" customFormat="1" ht="54" customHeight="1" x14ac:dyDescent="0.2">
      <c r="A47" s="8" t="s">
        <v>25</v>
      </c>
      <c r="B47" s="37" t="s">
        <v>383</v>
      </c>
      <c r="C47" s="146"/>
      <c r="D47" s="146"/>
      <c r="E47" s="146"/>
      <c r="F47" s="146"/>
      <c r="G47" s="56" t="s">
        <v>21</v>
      </c>
      <c r="H47" s="35"/>
      <c r="I47" s="36"/>
      <c r="J47" s="84"/>
      <c r="K47" s="84"/>
      <c r="L47" s="85">
        <f t="shared" si="0"/>
        <v>0</v>
      </c>
    </row>
    <row r="48" spans="1:12" s="1" customFormat="1" ht="54" customHeight="1" x14ac:dyDescent="0.2">
      <c r="A48" s="8" t="s">
        <v>26</v>
      </c>
      <c r="B48" s="37" t="s">
        <v>23</v>
      </c>
      <c r="C48" s="146"/>
      <c r="D48" s="146"/>
      <c r="E48" s="146"/>
      <c r="F48" s="146"/>
      <c r="G48" s="56" t="s">
        <v>24</v>
      </c>
      <c r="H48" s="35"/>
      <c r="I48" s="36"/>
      <c r="J48" s="84"/>
      <c r="K48" s="84"/>
      <c r="L48" s="85">
        <f t="shared" si="0"/>
        <v>0</v>
      </c>
    </row>
    <row r="49" spans="1:176" s="1" customFormat="1" ht="54" customHeight="1" x14ac:dyDescent="0.2">
      <c r="A49" s="8" t="s">
        <v>27</v>
      </c>
      <c r="B49" s="37" t="s">
        <v>651</v>
      </c>
      <c r="C49" s="52"/>
      <c r="D49" s="52"/>
      <c r="E49" s="52"/>
      <c r="F49" s="15"/>
      <c r="G49" s="56"/>
      <c r="H49" s="35">
        <v>61</v>
      </c>
      <c r="I49" s="36"/>
      <c r="J49" s="84"/>
      <c r="K49" s="84"/>
      <c r="L49" s="85">
        <f t="shared" si="0"/>
        <v>0</v>
      </c>
    </row>
    <row r="50" spans="1:176" s="1" customFormat="1" ht="42.75" x14ac:dyDescent="0.2">
      <c r="A50" s="8" t="s">
        <v>28</v>
      </c>
      <c r="B50" s="37" t="s">
        <v>652</v>
      </c>
      <c r="C50" s="52"/>
      <c r="D50" s="52"/>
      <c r="E50" s="52"/>
      <c r="F50" s="15"/>
      <c r="G50" s="56"/>
      <c r="H50" s="35">
        <v>62</v>
      </c>
      <c r="I50" s="36"/>
      <c r="J50" s="84"/>
      <c r="K50" s="84"/>
      <c r="L50" s="85">
        <f t="shared" si="0"/>
        <v>0</v>
      </c>
    </row>
    <row r="51" spans="1:176" s="1" customFormat="1" ht="54" customHeight="1" x14ac:dyDescent="0.2">
      <c r="A51" s="8" t="s">
        <v>29</v>
      </c>
      <c r="B51" s="37" t="s">
        <v>653</v>
      </c>
      <c r="C51" s="52"/>
      <c r="D51" s="52"/>
      <c r="E51" s="52"/>
      <c r="F51" s="15"/>
      <c r="G51" s="56"/>
      <c r="H51" s="35">
        <v>63</v>
      </c>
      <c r="I51" s="36"/>
      <c r="J51" s="84"/>
      <c r="K51" s="84"/>
      <c r="L51" s="85">
        <f t="shared" si="0"/>
        <v>0</v>
      </c>
    </row>
    <row r="52" spans="1:176" s="1" customFormat="1" ht="54" customHeight="1" x14ac:dyDescent="0.2">
      <c r="A52" s="8" t="s">
        <v>295</v>
      </c>
      <c r="B52" s="37" t="s">
        <v>93</v>
      </c>
      <c r="C52" s="15"/>
      <c r="D52" s="15"/>
      <c r="E52" s="15"/>
      <c r="F52" s="15"/>
      <c r="G52" s="57" t="str">
        <f>IF(C52="","",IF(C52="Yes","Provide a list of utility references, with contact information.","State your primary industry. Please provide appropriate references."))</f>
        <v/>
      </c>
      <c r="H52" s="35"/>
      <c r="I52" s="36"/>
      <c r="J52" s="84"/>
      <c r="K52" s="84"/>
      <c r="L52" s="85">
        <f t="shared" si="0"/>
        <v>0</v>
      </c>
    </row>
    <row r="53" spans="1:176" s="1" customFormat="1" ht="64.349999999999994" customHeight="1" x14ac:dyDescent="0.2">
      <c r="A53" s="8" t="s">
        <v>384</v>
      </c>
      <c r="B53" s="37" t="s">
        <v>497</v>
      </c>
      <c r="C53" s="15"/>
      <c r="D53" s="15"/>
      <c r="E53" s="15"/>
      <c r="F53" s="12"/>
      <c r="G53" s="56" t="str">
        <f>IF(C53="","",IF(C53="Yes","Provide a detailed summary of the breach and actions taken to mitigate identified vulnerabilities.",""))</f>
        <v/>
      </c>
      <c r="H53" s="38">
        <v>34</v>
      </c>
      <c r="I53" s="38" t="s">
        <v>385</v>
      </c>
      <c r="J53" s="84"/>
      <c r="K53" s="84"/>
      <c r="L53" s="85">
        <f t="shared" si="0"/>
        <v>0</v>
      </c>
    </row>
    <row r="54" spans="1:176" s="1" customFormat="1" ht="64.349999999999994" customHeight="1" x14ac:dyDescent="0.2">
      <c r="A54" s="8" t="s">
        <v>386</v>
      </c>
      <c r="B54" s="37" t="s">
        <v>387</v>
      </c>
      <c r="C54" s="15"/>
      <c r="D54" s="15"/>
      <c r="E54" s="15"/>
      <c r="F54" s="12"/>
      <c r="G54" s="56"/>
      <c r="H54" s="35"/>
      <c r="I54" s="36"/>
      <c r="J54" s="84"/>
      <c r="K54" s="84"/>
      <c r="L54" s="85">
        <f t="shared" si="0"/>
        <v>0</v>
      </c>
    </row>
    <row r="55" spans="1:176" s="1" customFormat="1" ht="78.75" customHeight="1" x14ac:dyDescent="0.2">
      <c r="A55" s="8" t="s">
        <v>388</v>
      </c>
      <c r="B55" s="37" t="s">
        <v>498</v>
      </c>
      <c r="C55" s="15"/>
      <c r="D55" s="15"/>
      <c r="E55" s="15"/>
      <c r="F55" s="12"/>
      <c r="G55" s="56"/>
      <c r="H55" s="35"/>
      <c r="I55" s="36"/>
      <c r="J55" s="84"/>
      <c r="K55" s="84"/>
      <c r="L55" s="85">
        <f t="shared" si="0"/>
        <v>0</v>
      </c>
    </row>
    <row r="56" spans="1:176" s="1" customFormat="1" ht="52.5" customHeight="1" x14ac:dyDescent="0.2">
      <c r="A56" s="8" t="s">
        <v>389</v>
      </c>
      <c r="B56" s="37" t="s">
        <v>636</v>
      </c>
      <c r="C56" s="15"/>
      <c r="D56" s="15"/>
      <c r="E56" s="15"/>
      <c r="F56" s="12"/>
      <c r="G56" s="56"/>
      <c r="H56" s="35"/>
      <c r="I56" s="36"/>
      <c r="J56" s="84"/>
      <c r="K56" s="84"/>
      <c r="L56" s="85">
        <f t="shared" si="0"/>
        <v>0</v>
      </c>
    </row>
    <row r="57" spans="1:176" s="1" customFormat="1" ht="33.75" customHeight="1" x14ac:dyDescent="0.2">
      <c r="A57" s="8" t="s">
        <v>390</v>
      </c>
      <c r="B57" s="37" t="s">
        <v>499</v>
      </c>
      <c r="C57" s="15"/>
      <c r="D57" s="15"/>
      <c r="E57" s="15"/>
      <c r="F57" s="15"/>
      <c r="G57" s="56" t="str">
        <f>IF(C57="","",IF(C57="Yes","Describe your Information Security Office, including size, talents, resources, etc.","Describe any plans to create an Information Security Office for your organization."))</f>
        <v/>
      </c>
      <c r="H57" s="35"/>
      <c r="I57" s="36"/>
      <c r="J57" s="84"/>
      <c r="K57" s="84"/>
      <c r="L57" s="85">
        <f t="shared" si="0"/>
        <v>0</v>
      </c>
    </row>
    <row r="58" spans="1:176" s="1" customFormat="1" ht="51" customHeight="1" x14ac:dyDescent="0.2">
      <c r="A58" s="8" t="s">
        <v>391</v>
      </c>
      <c r="B58" s="37" t="s">
        <v>500</v>
      </c>
      <c r="C58" s="15"/>
      <c r="D58" s="15"/>
      <c r="E58" s="15"/>
      <c r="F58" s="12"/>
      <c r="G58" s="56" t="str">
        <f>IF(C58="","",IF(C58="Yes","Describe the structure and size of your Software and System Development teams (e.g. Customer Support, Implementation, Product Management, etc.)","Describe your current teams/organizational structure, as well as any plans to create dedicated teams."))</f>
        <v/>
      </c>
      <c r="H58" s="35"/>
      <c r="I58" s="36"/>
      <c r="J58" s="84"/>
      <c r="K58" s="84"/>
      <c r="L58" s="85">
        <f t="shared" si="0"/>
        <v>0</v>
      </c>
    </row>
    <row r="59" spans="1:176" s="1" customFormat="1" ht="54" customHeight="1" x14ac:dyDescent="0.2">
      <c r="A59" s="8" t="s">
        <v>392</v>
      </c>
      <c r="B59" s="37" t="s">
        <v>258</v>
      </c>
      <c r="C59" s="146"/>
      <c r="D59" s="146"/>
      <c r="E59" s="146"/>
      <c r="F59" s="146"/>
      <c r="G59" s="56" t="s">
        <v>255</v>
      </c>
      <c r="H59" s="35"/>
      <c r="I59" s="36"/>
      <c r="J59" s="84"/>
      <c r="K59" s="84"/>
      <c r="L59" s="85">
        <f t="shared" si="0"/>
        <v>0</v>
      </c>
    </row>
    <row r="60" spans="1:176" s="1" customFormat="1" ht="60.75" customHeight="1" x14ac:dyDescent="0.2">
      <c r="A60" s="120" t="s">
        <v>149</v>
      </c>
      <c r="B60" s="120"/>
      <c r="C60" s="2" t="s">
        <v>574</v>
      </c>
      <c r="D60" s="2" t="s">
        <v>575</v>
      </c>
      <c r="E60" s="2" t="s">
        <v>104</v>
      </c>
      <c r="F60" s="2" t="s">
        <v>17</v>
      </c>
      <c r="G60" s="2" t="s">
        <v>18</v>
      </c>
      <c r="H60" s="2" t="s">
        <v>353</v>
      </c>
      <c r="I60" s="2" t="s">
        <v>380</v>
      </c>
      <c r="J60" s="108" t="s">
        <v>628</v>
      </c>
      <c r="K60" s="109"/>
      <c r="L60" s="86">
        <f>SUM(L61:L75)</f>
        <v>0</v>
      </c>
    </row>
    <row r="61" spans="1:176" s="1" customFormat="1" ht="96" customHeight="1" x14ac:dyDescent="0.2">
      <c r="A61" s="8" t="s">
        <v>30</v>
      </c>
      <c r="B61" s="16" t="s">
        <v>502</v>
      </c>
      <c r="C61" s="111"/>
      <c r="D61" s="111"/>
      <c r="E61" s="111"/>
      <c r="F61" s="111"/>
      <c r="G61" s="56" t="s">
        <v>31</v>
      </c>
      <c r="H61" s="35"/>
      <c r="I61" s="36" t="s">
        <v>393</v>
      </c>
      <c r="J61" s="84"/>
      <c r="K61" s="84"/>
      <c r="L61" s="85">
        <f t="shared" ref="L61:L75" si="1">J61*K61</f>
        <v>0</v>
      </c>
    </row>
    <row r="62" spans="1:176" ht="80.099999999999994" customHeight="1" x14ac:dyDescent="0.2">
      <c r="A62" s="8" t="s">
        <v>32</v>
      </c>
      <c r="B62" s="16" t="s">
        <v>501</v>
      </c>
      <c r="C62" s="111"/>
      <c r="D62" s="111"/>
      <c r="E62" s="111"/>
      <c r="F62" s="111"/>
      <c r="G62" s="56" t="s">
        <v>558</v>
      </c>
      <c r="H62" s="35"/>
      <c r="I62" s="36"/>
      <c r="J62" s="84"/>
      <c r="K62" s="84"/>
      <c r="L62" s="85">
        <f t="shared" si="1"/>
        <v>0</v>
      </c>
      <c r="FT62"/>
    </row>
    <row r="63" spans="1:176" ht="80.099999999999994" customHeight="1" x14ac:dyDescent="0.2">
      <c r="A63" s="8" t="s">
        <v>165</v>
      </c>
      <c r="B63" s="16" t="s">
        <v>503</v>
      </c>
      <c r="C63" s="111"/>
      <c r="D63" s="111"/>
      <c r="E63" s="111"/>
      <c r="F63" s="111"/>
      <c r="G63" s="58"/>
      <c r="H63" s="35"/>
      <c r="I63" s="36" t="s">
        <v>394</v>
      </c>
      <c r="J63" s="84"/>
      <c r="K63" s="84"/>
      <c r="L63" s="85">
        <f t="shared" si="1"/>
        <v>0</v>
      </c>
      <c r="FT63"/>
    </row>
    <row r="64" spans="1:176" ht="80.099999999999994" customHeight="1" x14ac:dyDescent="0.2">
      <c r="A64" s="8" t="s">
        <v>34</v>
      </c>
      <c r="B64" s="16" t="s">
        <v>487</v>
      </c>
      <c r="C64" s="15"/>
      <c r="D64" s="15"/>
      <c r="E64" s="15"/>
      <c r="F64" s="19"/>
      <c r="G64" s="58" t="str">
        <f>IF(C64="","",IF(C64="Yes","Please describe this program and how it is maintained.","Please describe how you ensure integrity in absence of a program that ensures storage security."))</f>
        <v/>
      </c>
      <c r="H64" s="35">
        <v>2</v>
      </c>
      <c r="I64" s="36" t="s">
        <v>395</v>
      </c>
      <c r="J64" s="84"/>
      <c r="K64" s="84"/>
      <c r="L64" s="85">
        <f t="shared" si="1"/>
        <v>0</v>
      </c>
      <c r="FT64"/>
    </row>
    <row r="65" spans="1:176" ht="80.099999999999994" customHeight="1" x14ac:dyDescent="0.2">
      <c r="A65" s="8" t="s">
        <v>261</v>
      </c>
      <c r="B65" s="16" t="s">
        <v>343</v>
      </c>
      <c r="C65" s="15"/>
      <c r="D65" s="15"/>
      <c r="E65" s="15"/>
      <c r="F65" s="19"/>
      <c r="G65" s="58" t="str">
        <f>IF(C65="","",IF(C65="Yes","Please describe this process.","Please describe how the integrity of software is verified prior to use."))</f>
        <v/>
      </c>
      <c r="H65" s="35"/>
      <c r="I65" s="36" t="s">
        <v>396</v>
      </c>
      <c r="J65" s="84"/>
      <c r="K65" s="84"/>
      <c r="L65" s="85">
        <f t="shared" si="1"/>
        <v>0</v>
      </c>
      <c r="FT65"/>
    </row>
    <row r="66" spans="1:176" ht="80.099999999999994" customHeight="1" x14ac:dyDescent="0.2">
      <c r="A66" s="8" t="s">
        <v>269</v>
      </c>
      <c r="B66" s="16" t="s">
        <v>344</v>
      </c>
      <c r="C66" s="15"/>
      <c r="D66" s="15"/>
      <c r="E66" s="15"/>
      <c r="F66" s="19"/>
      <c r="G66" s="58" t="str">
        <f>IF(C66="","",IF(C66="Yes","Please describe this process.",""))</f>
        <v/>
      </c>
      <c r="H66" s="35"/>
      <c r="I66" s="36" t="s">
        <v>397</v>
      </c>
      <c r="J66" s="84"/>
      <c r="K66" s="84"/>
      <c r="L66" s="85">
        <f t="shared" si="1"/>
        <v>0</v>
      </c>
      <c r="FT66"/>
    </row>
    <row r="67" spans="1:176" ht="75.75" customHeight="1" x14ac:dyDescent="0.2">
      <c r="A67" s="8" t="s">
        <v>270</v>
      </c>
      <c r="B67" s="16" t="s">
        <v>488</v>
      </c>
      <c r="C67" s="15"/>
      <c r="D67" s="15"/>
      <c r="E67" s="15"/>
      <c r="F67" s="19"/>
      <c r="G67" s="58" t="str">
        <f>IF(C67="","",IF(C67="Yes","Please describe this process.",""))</f>
        <v/>
      </c>
      <c r="H67" s="35">
        <v>59</v>
      </c>
      <c r="I67" s="36" t="s">
        <v>398</v>
      </c>
      <c r="J67" s="84"/>
      <c r="K67" s="84"/>
      <c r="L67" s="85">
        <f t="shared" si="1"/>
        <v>0</v>
      </c>
      <c r="FT67"/>
    </row>
    <row r="68" spans="1:176" ht="80.099999999999994" customHeight="1" x14ac:dyDescent="0.2">
      <c r="A68" s="8" t="s">
        <v>271</v>
      </c>
      <c r="B68" s="16" t="s">
        <v>505</v>
      </c>
      <c r="C68" s="15"/>
      <c r="D68" s="15"/>
      <c r="E68" s="15"/>
      <c r="F68" s="19"/>
      <c r="G68" s="58" t="str">
        <f>IF(C68="","",IF(C68="Yes","Please describe or provide a reference to/copy of this policy.",""))</f>
        <v/>
      </c>
      <c r="H68" s="35">
        <v>48</v>
      </c>
      <c r="I68" s="36" t="s">
        <v>399</v>
      </c>
      <c r="J68" s="84"/>
      <c r="K68" s="84"/>
      <c r="L68" s="85">
        <f t="shared" si="1"/>
        <v>0</v>
      </c>
      <c r="FT68"/>
    </row>
    <row r="69" spans="1:176" ht="80.099999999999994" customHeight="1" x14ac:dyDescent="0.2">
      <c r="A69" s="8" t="s">
        <v>272</v>
      </c>
      <c r="B69" s="16" t="s">
        <v>604</v>
      </c>
      <c r="C69" s="15"/>
      <c r="D69" s="15"/>
      <c r="E69" s="15"/>
      <c r="F69" s="19"/>
      <c r="G69" s="58"/>
      <c r="H69" s="35">
        <v>23</v>
      </c>
      <c r="I69" s="36" t="s">
        <v>400</v>
      </c>
      <c r="J69" s="84"/>
      <c r="K69" s="84"/>
      <c r="L69" s="85">
        <f t="shared" si="1"/>
        <v>0</v>
      </c>
      <c r="FT69"/>
    </row>
    <row r="70" spans="1:176" ht="80.099999999999994" customHeight="1" x14ac:dyDescent="0.2">
      <c r="A70" s="8" t="s">
        <v>273</v>
      </c>
      <c r="B70" s="16" t="s">
        <v>280</v>
      </c>
      <c r="C70" s="15"/>
      <c r="D70" s="15"/>
      <c r="E70" s="15"/>
      <c r="F70" s="19"/>
      <c r="G70" s="58" t="str">
        <f>IF(C70="","",IF(C70="Yes","Can this information be shared with the utility?",""))</f>
        <v/>
      </c>
      <c r="H70" s="35" t="s">
        <v>594</v>
      </c>
      <c r="I70" s="36" t="s">
        <v>401</v>
      </c>
      <c r="J70" s="84"/>
      <c r="K70" s="84"/>
      <c r="L70" s="85">
        <f t="shared" si="1"/>
        <v>0</v>
      </c>
      <c r="FT70"/>
    </row>
    <row r="71" spans="1:176" ht="80.099999999999994" customHeight="1" x14ac:dyDescent="0.2">
      <c r="A71" s="8" t="s">
        <v>278</v>
      </c>
      <c r="B71" s="16" t="s">
        <v>305</v>
      </c>
      <c r="C71" s="121"/>
      <c r="D71" s="122"/>
      <c r="E71" s="122"/>
      <c r="F71" s="19"/>
      <c r="G71" s="58" t="str">
        <f>IF(C71="","",IF(C71="Yes","Please describe this aspect of your program in adequate detail.",""))</f>
        <v/>
      </c>
      <c r="H71" s="35">
        <v>39</v>
      </c>
      <c r="I71" s="36" t="s">
        <v>402</v>
      </c>
      <c r="J71" s="84"/>
      <c r="K71" s="84"/>
      <c r="L71" s="85">
        <f t="shared" si="1"/>
        <v>0</v>
      </c>
      <c r="FT71"/>
    </row>
    <row r="72" spans="1:176" ht="103.5" customHeight="1" x14ac:dyDescent="0.2">
      <c r="A72" s="8" t="s">
        <v>279</v>
      </c>
      <c r="B72" s="16" t="s">
        <v>506</v>
      </c>
      <c r="C72" s="15"/>
      <c r="D72" s="15"/>
      <c r="E72" s="15"/>
      <c r="F72" s="19"/>
      <c r="G72" s="58" t="str">
        <f>IF(C72="","",IF(C72="Yes","Please describe this process, including timeframe for and method by which notification is provided.",""))</f>
        <v/>
      </c>
      <c r="H72" s="35"/>
      <c r="I72" s="36" t="s">
        <v>403</v>
      </c>
      <c r="J72" s="84"/>
      <c r="K72" s="84"/>
      <c r="L72" s="85">
        <f t="shared" si="1"/>
        <v>0</v>
      </c>
      <c r="FT72"/>
    </row>
    <row r="73" spans="1:176" ht="80.099999999999994" customHeight="1" x14ac:dyDescent="0.2">
      <c r="A73" s="8" t="s">
        <v>304</v>
      </c>
      <c r="B73" s="16" t="s">
        <v>328</v>
      </c>
      <c r="C73" s="15"/>
      <c r="D73" s="15"/>
      <c r="E73" s="15"/>
      <c r="F73" s="19"/>
      <c r="G73" s="58"/>
      <c r="H73" s="35"/>
      <c r="I73" s="36"/>
      <c r="J73" s="84"/>
      <c r="K73" s="84"/>
      <c r="L73" s="85">
        <f t="shared" si="1"/>
        <v>0</v>
      </c>
      <c r="FT73"/>
    </row>
    <row r="74" spans="1:176" s="1" customFormat="1" ht="80.099999999999994" customHeight="1" x14ac:dyDescent="0.2">
      <c r="A74" s="8" t="s">
        <v>310</v>
      </c>
      <c r="B74" s="18" t="s">
        <v>507</v>
      </c>
      <c r="C74" s="111"/>
      <c r="D74" s="111"/>
      <c r="E74" s="111"/>
      <c r="F74" s="111"/>
      <c r="G74" s="56" t="s">
        <v>33</v>
      </c>
      <c r="H74" s="35"/>
      <c r="I74" s="36"/>
      <c r="J74" s="84"/>
      <c r="K74" s="84"/>
      <c r="L74" s="85">
        <f t="shared" si="1"/>
        <v>0</v>
      </c>
    </row>
    <row r="75" spans="1:176" s="1" customFormat="1" ht="80.099999999999994" customHeight="1" x14ac:dyDescent="0.2">
      <c r="A75" s="8" t="s">
        <v>327</v>
      </c>
      <c r="B75" s="3" t="s">
        <v>482</v>
      </c>
      <c r="C75" s="111"/>
      <c r="D75" s="111"/>
      <c r="E75" s="111"/>
      <c r="F75" s="111"/>
      <c r="G75" s="56" t="s">
        <v>163</v>
      </c>
      <c r="H75" s="35"/>
      <c r="I75" s="36"/>
      <c r="J75" s="84"/>
      <c r="K75" s="84"/>
      <c r="L75" s="85">
        <f t="shared" si="1"/>
        <v>0</v>
      </c>
    </row>
    <row r="76" spans="1:176" ht="73.5" customHeight="1" x14ac:dyDescent="0.2">
      <c r="A76" s="120" t="s">
        <v>164</v>
      </c>
      <c r="B76" s="120"/>
      <c r="C76" s="2" t="s">
        <v>574</v>
      </c>
      <c r="D76" s="2" t="s">
        <v>575</v>
      </c>
      <c r="E76" s="2" t="s">
        <v>104</v>
      </c>
      <c r="F76" s="2" t="s">
        <v>17</v>
      </c>
      <c r="G76" s="2" t="s">
        <v>18</v>
      </c>
      <c r="H76" s="2" t="s">
        <v>353</v>
      </c>
      <c r="I76" s="2" t="s">
        <v>380</v>
      </c>
      <c r="J76" s="108" t="s">
        <v>628</v>
      </c>
      <c r="K76" s="109"/>
      <c r="L76" s="86">
        <f>SUM(L77:L89)</f>
        <v>0</v>
      </c>
      <c r="FT76"/>
    </row>
    <row r="77" spans="1:176" ht="84.75" customHeight="1" x14ac:dyDescent="0.2">
      <c r="A77" s="8" t="s">
        <v>285</v>
      </c>
      <c r="B77" s="20" t="s">
        <v>508</v>
      </c>
      <c r="C77" s="121"/>
      <c r="D77" s="122"/>
      <c r="E77" s="122"/>
      <c r="F77" s="14"/>
      <c r="G77" s="58" t="str">
        <f>IF(C77="","",IF(C77="Yes","Summarize background check practices including level (e.g. seven-year background checks) and list of any exempted employees or contactors due to restrictions by country of employment.","State plans to implement background checks into your hiring process."))</f>
        <v/>
      </c>
      <c r="H77" s="35" t="s">
        <v>481</v>
      </c>
      <c r="I77" s="36" t="s">
        <v>480</v>
      </c>
      <c r="J77" s="84"/>
      <c r="K77" s="84"/>
      <c r="L77" s="85">
        <f t="shared" ref="L77:L141" si="2">J77*K77</f>
        <v>0</v>
      </c>
      <c r="FT77"/>
    </row>
    <row r="78" spans="1:176" ht="71.25" customHeight="1" x14ac:dyDescent="0.2">
      <c r="A78" s="22" t="s">
        <v>586</v>
      </c>
      <c r="B78" s="20" t="s">
        <v>587</v>
      </c>
      <c r="C78" s="121"/>
      <c r="D78" s="122"/>
      <c r="E78" s="122"/>
      <c r="F78" s="14"/>
      <c r="G78" s="58" t="str">
        <f>IF(C78="","",IF(C78="Yes","Provide frequency that supplier's process requires and list of any exempted employees or contactors due to the personnel's area of responsibility or restrictions by country of employment.",""))</f>
        <v/>
      </c>
      <c r="H78" s="35" t="s">
        <v>481</v>
      </c>
      <c r="I78" s="36" t="s">
        <v>480</v>
      </c>
      <c r="J78" s="84"/>
      <c r="K78" s="84"/>
      <c r="L78" s="85">
        <f t="shared" si="2"/>
        <v>0</v>
      </c>
      <c r="FT78"/>
    </row>
    <row r="79" spans="1:176" ht="74.25" customHeight="1" x14ac:dyDescent="0.2">
      <c r="A79" s="8" t="s">
        <v>286</v>
      </c>
      <c r="B79" s="20" t="s">
        <v>605</v>
      </c>
      <c r="C79" s="121"/>
      <c r="D79" s="122"/>
      <c r="E79" s="122"/>
      <c r="F79" s="14"/>
      <c r="G79" s="58"/>
      <c r="H79" s="35">
        <v>3</v>
      </c>
      <c r="I79" s="36" t="s">
        <v>405</v>
      </c>
      <c r="J79" s="84"/>
      <c r="K79" s="84"/>
      <c r="L79" s="85">
        <f t="shared" si="2"/>
        <v>0</v>
      </c>
      <c r="FT79"/>
    </row>
    <row r="80" spans="1:176" ht="94.5" customHeight="1" x14ac:dyDescent="0.2">
      <c r="A80" s="8" t="s">
        <v>287</v>
      </c>
      <c r="B80" s="20" t="s">
        <v>406</v>
      </c>
      <c r="C80" s="123"/>
      <c r="D80" s="124"/>
      <c r="E80" s="124"/>
      <c r="F80" s="125"/>
      <c r="G80" s="58"/>
      <c r="H80" s="36" t="s">
        <v>407</v>
      </c>
      <c r="I80" s="36" t="s">
        <v>408</v>
      </c>
      <c r="J80" s="84"/>
      <c r="K80" s="84"/>
      <c r="L80" s="85">
        <f t="shared" si="2"/>
        <v>0</v>
      </c>
      <c r="FT80"/>
    </row>
    <row r="81" spans="1:176" ht="70.5" customHeight="1" x14ac:dyDescent="0.2">
      <c r="A81" s="8" t="s">
        <v>288</v>
      </c>
      <c r="B81" s="20" t="s">
        <v>351</v>
      </c>
      <c r="C81" s="15"/>
      <c r="D81" s="15"/>
      <c r="E81" s="15"/>
      <c r="F81" s="21"/>
      <c r="G81" s="58"/>
      <c r="H81" s="35">
        <v>11</v>
      </c>
      <c r="I81" s="36" t="s">
        <v>409</v>
      </c>
      <c r="J81" s="84"/>
      <c r="K81" s="84"/>
      <c r="L81" s="85">
        <f t="shared" si="2"/>
        <v>0</v>
      </c>
      <c r="FT81"/>
    </row>
    <row r="82" spans="1:176" ht="68.25" customHeight="1" x14ac:dyDescent="0.2">
      <c r="A82" s="8" t="s">
        <v>289</v>
      </c>
      <c r="B82" s="20" t="s">
        <v>410</v>
      </c>
      <c r="C82" s="15"/>
      <c r="D82" s="15"/>
      <c r="E82" s="15"/>
      <c r="F82" s="21"/>
      <c r="G82" s="58"/>
      <c r="H82" s="35">
        <v>12</v>
      </c>
      <c r="I82" s="36" t="s">
        <v>411</v>
      </c>
      <c r="J82" s="84"/>
      <c r="K82" s="84"/>
      <c r="L82" s="85">
        <f t="shared" si="2"/>
        <v>0</v>
      </c>
      <c r="FT82"/>
    </row>
    <row r="83" spans="1:176" ht="96.75" customHeight="1" x14ac:dyDescent="0.2">
      <c r="A83" s="8" t="s">
        <v>284</v>
      </c>
      <c r="B83" s="20" t="s">
        <v>606</v>
      </c>
      <c r="C83" s="15"/>
      <c r="D83" s="15"/>
      <c r="E83" s="15"/>
      <c r="F83" s="21"/>
      <c r="G83" s="58"/>
      <c r="H83" s="35">
        <v>10</v>
      </c>
      <c r="I83" s="36" t="s">
        <v>412</v>
      </c>
      <c r="J83" s="84"/>
      <c r="K83" s="84"/>
      <c r="L83" s="85">
        <f t="shared" si="2"/>
        <v>0</v>
      </c>
      <c r="FT83"/>
    </row>
    <row r="84" spans="1:176" ht="68.25" customHeight="1" x14ac:dyDescent="0.2">
      <c r="A84" s="8" t="s">
        <v>283</v>
      </c>
      <c r="B84" s="20" t="s">
        <v>413</v>
      </c>
      <c r="C84" s="15"/>
      <c r="D84" s="15"/>
      <c r="E84" s="15"/>
      <c r="F84" s="21"/>
      <c r="G84" s="58"/>
      <c r="H84" s="35">
        <v>47</v>
      </c>
      <c r="I84" s="36" t="s">
        <v>414</v>
      </c>
      <c r="J84" s="84"/>
      <c r="K84" s="84"/>
      <c r="L84" s="85">
        <f t="shared" si="2"/>
        <v>0</v>
      </c>
      <c r="FT84"/>
    </row>
    <row r="85" spans="1:176" ht="88.5" customHeight="1" x14ac:dyDescent="0.2">
      <c r="A85" s="8" t="s">
        <v>358</v>
      </c>
      <c r="B85" s="20" t="s">
        <v>345</v>
      </c>
      <c r="C85" s="126"/>
      <c r="D85" s="127"/>
      <c r="E85" s="127"/>
      <c r="F85" s="21"/>
      <c r="G85" s="58" t="str">
        <f>IF(C85="","",IF(C85="Yes","Summarize your securing coding training and state how frequently employees are required to undergo this training.","State plans to make secure coding training mandatory for all developers."))</f>
        <v/>
      </c>
      <c r="H85" s="35"/>
      <c r="I85" s="36" t="s">
        <v>415</v>
      </c>
      <c r="J85" s="84"/>
      <c r="K85" s="84"/>
      <c r="L85" s="85">
        <f t="shared" si="2"/>
        <v>0</v>
      </c>
      <c r="FT85"/>
    </row>
    <row r="86" spans="1:176" ht="141.75" customHeight="1" x14ac:dyDescent="0.2">
      <c r="A86" s="8" t="s">
        <v>359</v>
      </c>
      <c r="B86" s="20" t="s">
        <v>509</v>
      </c>
      <c r="C86" s="126"/>
      <c r="D86" s="127"/>
      <c r="E86" s="127"/>
      <c r="F86" s="21"/>
      <c r="G86" s="58"/>
      <c r="H86" s="35"/>
      <c r="I86" s="36" t="s">
        <v>404</v>
      </c>
      <c r="J86" s="84"/>
      <c r="K86" s="84"/>
      <c r="L86" s="85">
        <f t="shared" si="2"/>
        <v>0</v>
      </c>
      <c r="FT86"/>
    </row>
    <row r="87" spans="1:176" ht="87" customHeight="1" x14ac:dyDescent="0.2">
      <c r="A87" s="8" t="s">
        <v>360</v>
      </c>
      <c r="B87" s="20" t="s">
        <v>510</v>
      </c>
      <c r="C87" s="123"/>
      <c r="D87" s="124"/>
      <c r="E87" s="124"/>
      <c r="F87" s="125"/>
      <c r="G87" s="58"/>
      <c r="H87" s="35"/>
      <c r="I87" s="36"/>
      <c r="J87" s="84"/>
      <c r="K87" s="84"/>
      <c r="L87" s="85">
        <f t="shared" si="2"/>
        <v>0</v>
      </c>
      <c r="FT87"/>
    </row>
    <row r="88" spans="1:176" ht="72" customHeight="1" x14ac:dyDescent="0.2">
      <c r="A88" s="8" t="s">
        <v>416</v>
      </c>
      <c r="B88" s="20" t="s">
        <v>607</v>
      </c>
      <c r="C88" s="121"/>
      <c r="D88" s="122"/>
      <c r="E88" s="122"/>
      <c r="F88" s="14"/>
      <c r="G88" s="58" t="str">
        <f>IF(C88="","",IF(C88="Yes","Summarize the required agreements and reviewed policies.","Summarize why new employees are not required to accept agreements or review policy, as well as any practices that are conducted with new employees."))</f>
        <v/>
      </c>
      <c r="H88" s="35"/>
      <c r="I88" s="36"/>
      <c r="J88" s="84"/>
      <c r="K88" s="84"/>
      <c r="L88" s="85">
        <f t="shared" si="2"/>
        <v>0</v>
      </c>
      <c r="FT88"/>
    </row>
    <row r="89" spans="1:176" ht="62.25" customHeight="1" x14ac:dyDescent="0.2">
      <c r="A89" s="8" t="s">
        <v>417</v>
      </c>
      <c r="B89" s="20" t="s">
        <v>608</v>
      </c>
      <c r="C89" s="121"/>
      <c r="D89" s="122"/>
      <c r="E89" s="122"/>
      <c r="F89" s="14"/>
      <c r="G89" s="58" t="str">
        <f>IF(C89="","",IF(C89="Yes","Summarize your security awareness and privacy training content and state how frequently employees are required to undergo security awareness training.","State plans to make security awareness training mandatory for all employees."))</f>
        <v/>
      </c>
      <c r="H89" s="35"/>
      <c r="I89" s="36"/>
      <c r="J89" s="84"/>
      <c r="K89" s="84"/>
      <c r="L89" s="85">
        <f t="shared" si="2"/>
        <v>0</v>
      </c>
      <c r="FT89"/>
    </row>
    <row r="90" spans="1:176" ht="54" x14ac:dyDescent="0.2">
      <c r="A90" s="120" t="s">
        <v>147</v>
      </c>
      <c r="B90" s="120"/>
      <c r="C90" s="2" t="s">
        <v>574</v>
      </c>
      <c r="D90" s="2" t="s">
        <v>575</v>
      </c>
      <c r="E90" s="2" t="s">
        <v>104</v>
      </c>
      <c r="F90" s="2" t="s">
        <v>17</v>
      </c>
      <c r="G90" s="2" t="s">
        <v>18</v>
      </c>
      <c r="H90" s="2" t="s">
        <v>353</v>
      </c>
      <c r="I90" s="2" t="s">
        <v>380</v>
      </c>
      <c r="J90" s="108" t="s">
        <v>628</v>
      </c>
      <c r="K90" s="109"/>
      <c r="L90" s="86">
        <f>SUM(L91:L120)</f>
        <v>0</v>
      </c>
      <c r="FT90"/>
    </row>
    <row r="91" spans="1:176" s="1" customFormat="1" ht="53.25" customHeight="1" x14ac:dyDescent="0.2">
      <c r="A91" s="8" t="s">
        <v>167</v>
      </c>
      <c r="B91" s="3" t="s">
        <v>133</v>
      </c>
      <c r="C91" s="52"/>
      <c r="D91" s="52"/>
      <c r="E91" s="52"/>
      <c r="F91" s="33"/>
      <c r="G91" s="58"/>
      <c r="H91" s="35"/>
      <c r="I91" s="36"/>
      <c r="J91" s="84"/>
      <c r="K91" s="87"/>
      <c r="L91" s="85">
        <f t="shared" si="2"/>
        <v>0</v>
      </c>
    </row>
    <row r="92" spans="1:176" s="1" customFormat="1" ht="58.5" customHeight="1" x14ac:dyDescent="0.2">
      <c r="A92" s="8" t="s">
        <v>168</v>
      </c>
      <c r="B92" s="3" t="s">
        <v>511</v>
      </c>
      <c r="C92" s="15"/>
      <c r="D92" s="15"/>
      <c r="E92" s="15"/>
      <c r="F92" s="33"/>
      <c r="G92" s="58" t="str">
        <f>IF(C92="","",IF(C92="Yes","Please provide a high-level description of the major components of this program.","Describe plans to implement such an identity and access management program."))</f>
        <v/>
      </c>
      <c r="H92" s="35">
        <v>1</v>
      </c>
      <c r="I92" s="36" t="s">
        <v>418</v>
      </c>
      <c r="J92" s="84"/>
      <c r="K92" s="87"/>
      <c r="L92" s="85">
        <f t="shared" si="2"/>
        <v>0</v>
      </c>
    </row>
    <row r="93" spans="1:176" s="1" customFormat="1" ht="66" customHeight="1" x14ac:dyDescent="0.2">
      <c r="A93" s="8" t="s">
        <v>169</v>
      </c>
      <c r="B93" s="3" t="s">
        <v>512</v>
      </c>
      <c r="C93" s="15"/>
      <c r="D93" s="15"/>
      <c r="E93" s="15"/>
      <c r="F93" s="14"/>
      <c r="G93" s="58" t="str">
        <f>IF(C93="","",IF(C93="Yes","List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93" s="35">
        <v>1.1000000000000001</v>
      </c>
      <c r="I93" s="36"/>
      <c r="J93" s="84"/>
      <c r="K93" s="87"/>
      <c r="L93" s="85">
        <f t="shared" si="2"/>
        <v>0</v>
      </c>
    </row>
    <row r="94" spans="1:176" s="1" customFormat="1" ht="60.75" customHeight="1" x14ac:dyDescent="0.2">
      <c r="A94" s="8" t="s">
        <v>170</v>
      </c>
      <c r="B94" s="20" t="s">
        <v>263</v>
      </c>
      <c r="C94" s="15"/>
      <c r="D94" s="15"/>
      <c r="E94" s="15"/>
      <c r="F94" s="23"/>
      <c r="G94" s="56" t="str">
        <f>IF(C94="","",IF(C94="Yes","Please describe the approval process.","Please describe how access is granted and managed."))</f>
        <v/>
      </c>
      <c r="H94" s="35">
        <v>5</v>
      </c>
      <c r="I94" s="36" t="s">
        <v>419</v>
      </c>
      <c r="J94" s="84"/>
      <c r="K94" s="87"/>
      <c r="L94" s="85">
        <f t="shared" si="2"/>
        <v>0</v>
      </c>
    </row>
    <row r="95" spans="1:176" s="1" customFormat="1" ht="69.75" customHeight="1" x14ac:dyDescent="0.2">
      <c r="A95" s="8" t="s">
        <v>171</v>
      </c>
      <c r="B95" s="20" t="s">
        <v>609</v>
      </c>
      <c r="C95" s="15"/>
      <c r="D95" s="15"/>
      <c r="E95" s="15"/>
      <c r="F95" s="23"/>
      <c r="G95" s="56"/>
      <c r="H95" s="36">
        <v>6</v>
      </c>
      <c r="I95" s="36" t="s">
        <v>420</v>
      </c>
      <c r="J95" s="84"/>
      <c r="K95" s="87"/>
      <c r="L95" s="85">
        <f t="shared" si="2"/>
        <v>0</v>
      </c>
    </row>
    <row r="96" spans="1:176" s="1" customFormat="1" ht="63" customHeight="1" x14ac:dyDescent="0.2">
      <c r="A96" s="8" t="s">
        <v>361</v>
      </c>
      <c r="B96" s="20" t="s">
        <v>610</v>
      </c>
      <c r="C96" s="15"/>
      <c r="D96" s="15"/>
      <c r="E96" s="15"/>
      <c r="F96" s="23"/>
      <c r="G96" s="56"/>
      <c r="H96" s="36">
        <v>8</v>
      </c>
      <c r="I96" s="36" t="s">
        <v>421</v>
      </c>
      <c r="J96" s="84"/>
      <c r="K96" s="87"/>
      <c r="L96" s="85">
        <f t="shared" si="2"/>
        <v>0</v>
      </c>
    </row>
    <row r="97" spans="1:176" s="1" customFormat="1" ht="66" customHeight="1" x14ac:dyDescent="0.2">
      <c r="A97" s="8" t="s">
        <v>172</v>
      </c>
      <c r="B97" s="20" t="s">
        <v>355</v>
      </c>
      <c r="C97" s="15"/>
      <c r="D97" s="15"/>
      <c r="E97" s="15"/>
      <c r="F97" s="23"/>
      <c r="G97" s="56" t="str">
        <f>IF(C97="","",IF(C97="Yes","","If not reviewed annually, please provide frequency. If not reviewed, please state plans to implement periodic access reviews."))</f>
        <v/>
      </c>
      <c r="H97" s="36">
        <v>7</v>
      </c>
      <c r="I97" s="36" t="s">
        <v>422</v>
      </c>
      <c r="J97" s="84"/>
      <c r="K97" s="87"/>
      <c r="L97" s="85">
        <f t="shared" si="2"/>
        <v>0</v>
      </c>
    </row>
    <row r="98" spans="1:176" s="1" customFormat="1" ht="66.75" customHeight="1" x14ac:dyDescent="0.2">
      <c r="A98" s="8" t="s">
        <v>173</v>
      </c>
      <c r="B98" s="20" t="s">
        <v>350</v>
      </c>
      <c r="C98" s="15"/>
      <c r="D98" s="15"/>
      <c r="E98" s="15"/>
      <c r="F98" s="23"/>
      <c r="G98" s="56" t="str">
        <f>IF(C98="","",IF(C98="Yes","","If not reviewed annually, please provide frequency. If not reviewed, please state plans to implement periodic access reviews."))</f>
        <v/>
      </c>
      <c r="H98" s="35">
        <v>9</v>
      </c>
      <c r="I98" s="36" t="s">
        <v>423</v>
      </c>
      <c r="J98" s="84"/>
      <c r="K98" s="87"/>
      <c r="L98" s="85">
        <f t="shared" si="2"/>
        <v>0</v>
      </c>
    </row>
    <row r="99" spans="1:176" s="1" customFormat="1" ht="37.5" customHeight="1" x14ac:dyDescent="0.2">
      <c r="A99" s="8" t="s">
        <v>174</v>
      </c>
      <c r="B99" s="20" t="s">
        <v>106</v>
      </c>
      <c r="C99" s="15"/>
      <c r="D99" s="15"/>
      <c r="E99" s="15"/>
      <c r="F99" s="24"/>
      <c r="G99" s="56" t="str">
        <f>IF(C99="","",IF(C99="Yes","Submit documentation and/or web resources as to how remote access is provided, including security controls on the access (i.e., is multifactor authentication used?).","Provide details that prevent this capability."))</f>
        <v/>
      </c>
      <c r="H99" s="35"/>
      <c r="I99" s="36"/>
      <c r="J99" s="84"/>
      <c r="K99" s="87"/>
      <c r="L99" s="85">
        <f t="shared" si="2"/>
        <v>0</v>
      </c>
    </row>
    <row r="100" spans="1:176" s="1" customFormat="1" ht="68.25" customHeight="1" x14ac:dyDescent="0.2">
      <c r="A100" s="8" t="s">
        <v>175</v>
      </c>
      <c r="B100" s="20" t="s">
        <v>611</v>
      </c>
      <c r="C100" s="15"/>
      <c r="D100" s="15"/>
      <c r="E100" s="15"/>
      <c r="F100" s="24"/>
      <c r="G100" s="56"/>
      <c r="H100" s="35">
        <v>14</v>
      </c>
      <c r="I100" s="36" t="s">
        <v>424</v>
      </c>
      <c r="J100" s="84"/>
      <c r="K100" s="87"/>
      <c r="L100" s="85">
        <f t="shared" si="2"/>
        <v>0</v>
      </c>
    </row>
    <row r="101" spans="1:176" s="1" customFormat="1" ht="66.75" customHeight="1" x14ac:dyDescent="0.2">
      <c r="A101" s="8" t="s">
        <v>176</v>
      </c>
      <c r="B101" s="20" t="s">
        <v>346</v>
      </c>
      <c r="C101" s="15"/>
      <c r="D101" s="15"/>
      <c r="E101" s="15"/>
      <c r="F101" s="23"/>
      <c r="G101" s="58" t="str">
        <f>IF(C101="","",IF(C101="Yes","Please describe the reason for remote access as well as the process for achieving it.","Please describe in sufficient detail."))</f>
        <v/>
      </c>
      <c r="H101" s="35">
        <v>15</v>
      </c>
      <c r="I101" s="36" t="s">
        <v>425</v>
      </c>
      <c r="J101" s="84"/>
      <c r="K101" s="87"/>
      <c r="L101" s="85">
        <f t="shared" si="2"/>
        <v>0</v>
      </c>
    </row>
    <row r="102" spans="1:176" s="1" customFormat="1" ht="66" customHeight="1" x14ac:dyDescent="0.2">
      <c r="A102" s="8" t="s">
        <v>177</v>
      </c>
      <c r="B102" s="20" t="s">
        <v>513</v>
      </c>
      <c r="C102" s="15"/>
      <c r="D102" s="15"/>
      <c r="E102" s="15"/>
      <c r="F102" s="23"/>
      <c r="G102" s="58" t="str">
        <f>IF(C102="","",IF(C102="Yes","Please describe how remote access sessions are ended.",""))</f>
        <v/>
      </c>
      <c r="H102" s="35">
        <v>17</v>
      </c>
      <c r="I102" s="36" t="s">
        <v>426</v>
      </c>
      <c r="J102" s="84"/>
      <c r="K102" s="87"/>
      <c r="L102" s="85">
        <f t="shared" si="2"/>
        <v>0</v>
      </c>
    </row>
    <row r="103" spans="1:176" s="1" customFormat="1" ht="84" customHeight="1" x14ac:dyDescent="0.2">
      <c r="A103" s="8" t="s">
        <v>178</v>
      </c>
      <c r="B103" s="20" t="s">
        <v>654</v>
      </c>
      <c r="C103" s="15"/>
      <c r="D103" s="15"/>
      <c r="E103" s="15"/>
      <c r="F103" s="23"/>
      <c r="G103" s="58" t="str">
        <f>IF(C103="","",IF(C103="Yes","Please describe how this is accomplished.",""))</f>
        <v/>
      </c>
      <c r="H103" s="35">
        <v>19</v>
      </c>
      <c r="I103" s="36" t="s">
        <v>427</v>
      </c>
      <c r="J103" s="84"/>
      <c r="K103" s="87"/>
      <c r="L103" s="85">
        <f t="shared" si="2"/>
        <v>0</v>
      </c>
    </row>
    <row r="104" spans="1:176" ht="48" customHeight="1" x14ac:dyDescent="0.2">
      <c r="A104" s="8" t="s">
        <v>179</v>
      </c>
      <c r="B104" s="20" t="s">
        <v>145</v>
      </c>
      <c r="C104" s="15"/>
      <c r="D104" s="15"/>
      <c r="E104" s="15"/>
      <c r="F104" s="21"/>
      <c r="G104" s="58" t="str">
        <f>IF(C104="","",IF(C104="Yes","Describe how aging requirements are implemented, including expiration timeframes.","Describe plans to support password/passphrase aging requirements."))</f>
        <v/>
      </c>
      <c r="H104" s="35"/>
      <c r="I104" s="36"/>
      <c r="J104" s="84"/>
      <c r="K104" s="87"/>
      <c r="L104" s="85">
        <f t="shared" si="2"/>
        <v>0</v>
      </c>
      <c r="FT104"/>
    </row>
    <row r="105" spans="1:176" s="1" customFormat="1" ht="48" customHeight="1" x14ac:dyDescent="0.2">
      <c r="A105" s="8" t="s">
        <v>180</v>
      </c>
      <c r="B105" s="20" t="s">
        <v>141</v>
      </c>
      <c r="C105" s="15"/>
      <c r="D105" s="15"/>
      <c r="E105" s="15"/>
      <c r="F105" s="21"/>
      <c r="G105" s="58"/>
      <c r="H105" s="35"/>
      <c r="I105" s="36"/>
      <c r="J105" s="84"/>
      <c r="K105" s="87"/>
      <c r="L105" s="85">
        <f t="shared" si="2"/>
        <v>0</v>
      </c>
    </row>
    <row r="106" spans="1:176" s="1" customFormat="1" ht="48" customHeight="1" x14ac:dyDescent="0.2">
      <c r="A106" s="22" t="s">
        <v>640</v>
      </c>
      <c r="B106" s="20" t="s">
        <v>641</v>
      </c>
      <c r="C106" s="15"/>
      <c r="D106" s="15"/>
      <c r="E106" s="15"/>
      <c r="F106" s="21"/>
      <c r="G106" s="58" t="str">
        <f>IF(C106="","",IF(C106="Yes","Describe your policy for preventing the use of shared accounts and shared credentials.","Describe plans to prevent the use of shared accounts and shared passwords."))</f>
        <v/>
      </c>
      <c r="H106" s="35"/>
      <c r="I106" s="36"/>
      <c r="J106" s="84"/>
      <c r="K106" s="87"/>
      <c r="L106" s="85">
        <f t="shared" si="2"/>
        <v>0</v>
      </c>
    </row>
    <row r="107" spans="1:176" s="1" customFormat="1" ht="65.099999999999994" customHeight="1" x14ac:dyDescent="0.2">
      <c r="A107" s="8" t="s">
        <v>181</v>
      </c>
      <c r="B107" s="20" t="s">
        <v>109</v>
      </c>
      <c r="C107" s="15"/>
      <c r="D107" s="15"/>
      <c r="E107" s="15"/>
      <c r="F107" s="25"/>
      <c r="G107" s="58" t="str">
        <f>IF(C107="","",IF(C107="Yes","Describe your documented password/passphrase reset procedures that are currently implemented in the system and/or customer support.","Describe your plans to document system password/passphrase reset procedures."))</f>
        <v/>
      </c>
      <c r="H107" s="35"/>
      <c r="I107" s="36"/>
      <c r="J107" s="84"/>
      <c r="K107" s="87"/>
      <c r="L107" s="85">
        <f t="shared" si="2"/>
        <v>0</v>
      </c>
    </row>
    <row r="108" spans="1:176" s="1" customFormat="1" ht="63.95" customHeight="1" x14ac:dyDescent="0.2">
      <c r="A108" s="8" t="s">
        <v>182</v>
      </c>
      <c r="B108" s="20" t="s">
        <v>110</v>
      </c>
      <c r="C108" s="15"/>
      <c r="D108" s="15"/>
      <c r="E108" s="15"/>
      <c r="F108" s="21"/>
      <c r="G108" s="58" t="str">
        <f>IF(C108="","",IF(C108="Yes","Provide a detailed description of passwords/passphrases hard-coded into your systems or products.",""))</f>
        <v/>
      </c>
      <c r="H108" s="35"/>
      <c r="I108" s="36"/>
      <c r="J108" s="84"/>
      <c r="K108" s="87"/>
      <c r="L108" s="85">
        <f t="shared" si="2"/>
        <v>0</v>
      </c>
    </row>
    <row r="109" spans="1:176" s="1" customFormat="1" ht="30.95" customHeight="1" x14ac:dyDescent="0.2">
      <c r="A109" s="8" t="s">
        <v>183</v>
      </c>
      <c r="B109" s="20" t="s">
        <v>111</v>
      </c>
      <c r="C109" s="15"/>
      <c r="D109" s="15"/>
      <c r="E109" s="15"/>
      <c r="F109" s="21"/>
      <c r="G109" s="58" t="str">
        <f>IF(C109="","",IF(C109="Yes","Provide a detailed description stating why user account passwords/passphrases are visible by administrators.",""))</f>
        <v/>
      </c>
      <c r="H109" s="35"/>
      <c r="I109" s="36"/>
      <c r="J109" s="84"/>
      <c r="K109" s="87"/>
      <c r="L109" s="85">
        <f t="shared" si="2"/>
        <v>0</v>
      </c>
    </row>
    <row r="110" spans="1:176" s="1" customFormat="1" ht="60" customHeight="1" x14ac:dyDescent="0.2">
      <c r="A110" s="8" t="s">
        <v>262</v>
      </c>
      <c r="B110" s="20" t="s">
        <v>655</v>
      </c>
      <c r="C110" s="15"/>
      <c r="D110" s="15"/>
      <c r="E110" s="15"/>
      <c r="F110" s="21"/>
      <c r="G110" s="58" t="str">
        <f>IF(C110="","",IF(C110="Yes","Describe or provide a reference to the algorithm/strategy that is used to encrypt in transit and at rest passwords/passphrases/credentials.","Provide a detailed description stating why user account passwords/passphrases/credentials are not encrypted in transit and at rest."))</f>
        <v/>
      </c>
      <c r="H110" s="35"/>
      <c r="I110" s="36"/>
      <c r="J110" s="84"/>
      <c r="K110" s="87"/>
      <c r="L110" s="85">
        <f t="shared" si="2"/>
        <v>0</v>
      </c>
    </row>
    <row r="111" spans="1:176" s="1" customFormat="1" ht="103.5" customHeight="1" x14ac:dyDescent="0.2">
      <c r="A111" s="8" t="s">
        <v>264</v>
      </c>
      <c r="B111" s="20" t="s">
        <v>489</v>
      </c>
      <c r="C111" s="52"/>
      <c r="D111" s="52"/>
      <c r="E111" s="52"/>
      <c r="F111" s="21"/>
      <c r="G111" s="58" t="s">
        <v>143</v>
      </c>
      <c r="H111" s="35"/>
      <c r="I111" s="36"/>
      <c r="J111" s="84"/>
      <c r="K111" s="87"/>
      <c r="L111" s="85">
        <f t="shared" si="2"/>
        <v>0</v>
      </c>
    </row>
    <row r="112" spans="1:176" s="1" customFormat="1" ht="103.5" customHeight="1" x14ac:dyDescent="0.2">
      <c r="A112" s="8" t="s">
        <v>266</v>
      </c>
      <c r="B112" s="20" t="s">
        <v>490</v>
      </c>
      <c r="C112" s="52"/>
      <c r="D112" s="52"/>
      <c r="E112" s="52"/>
      <c r="F112" s="21"/>
      <c r="G112" s="58"/>
      <c r="H112" s="35"/>
      <c r="I112" s="36"/>
      <c r="J112" s="84"/>
      <c r="K112" s="87"/>
      <c r="L112" s="85">
        <f t="shared" si="2"/>
        <v>0</v>
      </c>
    </row>
    <row r="113" spans="1:12" s="1" customFormat="1" ht="67.5" customHeight="1" x14ac:dyDescent="0.2">
      <c r="A113" s="8" t="s">
        <v>267</v>
      </c>
      <c r="B113" s="20" t="s">
        <v>491</v>
      </c>
      <c r="C113" s="15"/>
      <c r="D113" s="15"/>
      <c r="E113" s="15"/>
      <c r="F113" s="21"/>
      <c r="G113" s="58" t="str">
        <f>IF(C113="","",IF(C113="Yes","Describe all authentication services supported by the system.","Describe any plans to support external authentication services in place of local authentication."))</f>
        <v/>
      </c>
      <c r="H113" s="35"/>
      <c r="I113" s="36"/>
      <c r="J113" s="84"/>
      <c r="K113" s="87"/>
      <c r="L113" s="85">
        <f t="shared" si="2"/>
        <v>0</v>
      </c>
    </row>
    <row r="114" spans="1:12" s="1" customFormat="1" ht="57.75" customHeight="1" x14ac:dyDescent="0.2">
      <c r="A114" s="8" t="s">
        <v>268</v>
      </c>
      <c r="B114" s="20" t="s">
        <v>259</v>
      </c>
      <c r="C114" s="15"/>
      <c r="D114" s="15"/>
      <c r="E114" s="15"/>
      <c r="F114" s="21"/>
      <c r="G114" s="58" t="str">
        <f>IF(C114="","",IF(C114="Yes","Provide a description of logging capabilities. Ensure that all elements of IAM-24 are evaluated for your response.","Describe any plans to enable audit logs for these data elements."))</f>
        <v/>
      </c>
      <c r="H114" s="35"/>
      <c r="I114" s="36"/>
      <c r="J114" s="84"/>
      <c r="K114" s="87"/>
      <c r="L114" s="85">
        <f t="shared" si="2"/>
        <v>0</v>
      </c>
    </row>
    <row r="115" spans="1:12" s="1" customFormat="1" ht="105" customHeight="1" x14ac:dyDescent="0.2">
      <c r="A115" s="8" t="s">
        <v>290</v>
      </c>
      <c r="B115" s="20" t="s">
        <v>514</v>
      </c>
      <c r="C115" s="149"/>
      <c r="D115" s="118"/>
      <c r="E115" s="118"/>
      <c r="F115" s="119"/>
      <c r="G115" s="58" t="s">
        <v>576</v>
      </c>
      <c r="H115" s="35"/>
      <c r="I115" s="36"/>
      <c r="J115" s="84"/>
      <c r="K115" s="87"/>
      <c r="L115" s="85">
        <f t="shared" si="2"/>
        <v>0</v>
      </c>
    </row>
    <row r="116" spans="1:12" s="1" customFormat="1" ht="84" customHeight="1" x14ac:dyDescent="0.2">
      <c r="A116" s="8" t="s">
        <v>291</v>
      </c>
      <c r="B116" s="20" t="s">
        <v>515</v>
      </c>
      <c r="C116" s="15"/>
      <c r="D116" s="15"/>
      <c r="E116" s="15"/>
      <c r="F116" s="24"/>
      <c r="G116" s="56" t="str">
        <f>IF(C116="","",IF(C116="Yes","Describe how this is accomplished.","Describe any plans to implement role-based access controls for end-users."))</f>
        <v/>
      </c>
      <c r="H116" s="35"/>
      <c r="I116" s="36"/>
      <c r="J116" s="84"/>
      <c r="K116" s="87"/>
      <c r="L116" s="85">
        <f t="shared" si="2"/>
        <v>0</v>
      </c>
    </row>
    <row r="117" spans="1:12" s="1" customFormat="1" ht="84" customHeight="1" x14ac:dyDescent="0.2">
      <c r="A117" s="8" t="s">
        <v>292</v>
      </c>
      <c r="B117" s="20" t="s">
        <v>516</v>
      </c>
      <c r="C117" s="15"/>
      <c r="D117" s="15"/>
      <c r="E117" s="15"/>
      <c r="F117" s="24"/>
      <c r="G117" s="56" t="str">
        <f>IF(C117="","",IF(C117="Yes","Describe how this is accomplished.","Describe any plans to implement role-based access controls for administrators, as well as how access/what levels of access are currently granted to administrators."))</f>
        <v/>
      </c>
      <c r="H117" s="35"/>
      <c r="I117" s="36"/>
      <c r="J117" s="84"/>
      <c r="K117" s="87"/>
      <c r="L117" s="85">
        <f t="shared" si="2"/>
        <v>0</v>
      </c>
    </row>
    <row r="118" spans="1:12" s="1" customFormat="1" ht="78.75" customHeight="1" x14ac:dyDescent="0.2">
      <c r="A118" s="8" t="s">
        <v>325</v>
      </c>
      <c r="B118" s="20" t="s">
        <v>518</v>
      </c>
      <c r="C118" s="52"/>
      <c r="D118" s="52"/>
      <c r="E118" s="52"/>
      <c r="F118" s="24"/>
      <c r="G118" s="56" t="s">
        <v>265</v>
      </c>
      <c r="H118" s="35"/>
      <c r="I118" s="36"/>
      <c r="J118" s="84"/>
      <c r="K118" s="87"/>
      <c r="L118" s="85">
        <f t="shared" si="2"/>
        <v>0</v>
      </c>
    </row>
    <row r="119" spans="1:12" s="1" customFormat="1" ht="57" customHeight="1" x14ac:dyDescent="0.2">
      <c r="A119" s="8" t="s">
        <v>362</v>
      </c>
      <c r="B119" s="20" t="s">
        <v>251</v>
      </c>
      <c r="C119" s="15"/>
      <c r="D119" s="15"/>
      <c r="E119" s="15"/>
      <c r="F119" s="24"/>
      <c r="G119" s="59" t="str">
        <f>IF(C119="","",IF(C119="Yes","Describe or attach your policy or process.","Describe how the provisioning and administration of administrative accounts is currently carried out, as well as any plans to implement such a policy or process."))</f>
        <v/>
      </c>
      <c r="H119" s="35"/>
      <c r="I119" s="36"/>
      <c r="J119" s="84"/>
      <c r="K119" s="87"/>
      <c r="L119" s="85">
        <f t="shared" si="2"/>
        <v>0</v>
      </c>
    </row>
    <row r="120" spans="1:12" s="1" customFormat="1" ht="84" customHeight="1" x14ac:dyDescent="0.2">
      <c r="A120" s="8" t="s">
        <v>429</v>
      </c>
      <c r="B120" s="20" t="s">
        <v>517</v>
      </c>
      <c r="C120" s="15"/>
      <c r="D120" s="15"/>
      <c r="E120" s="15"/>
      <c r="F120" s="24"/>
      <c r="G120" s="58" t="str">
        <f>IF(C120="","",IF(C120="Yes","Provide a brief summary and the review interval.","Describe plans to implement privileged account access-list reviews to your environment."))</f>
        <v/>
      </c>
      <c r="H120" s="35"/>
      <c r="I120" s="36"/>
      <c r="J120" s="84"/>
      <c r="K120" s="87"/>
      <c r="L120" s="85">
        <f t="shared" si="2"/>
        <v>0</v>
      </c>
    </row>
    <row r="121" spans="1:12" s="1" customFormat="1" ht="61.35" customHeight="1" x14ac:dyDescent="0.2">
      <c r="A121" s="120" t="s">
        <v>150</v>
      </c>
      <c r="B121" s="120"/>
      <c r="C121" s="2" t="s">
        <v>574</v>
      </c>
      <c r="D121" s="2" t="s">
        <v>575</v>
      </c>
      <c r="E121" s="2" t="s">
        <v>104</v>
      </c>
      <c r="F121" s="2" t="s">
        <v>17</v>
      </c>
      <c r="G121" s="2" t="s">
        <v>18</v>
      </c>
      <c r="H121" s="2" t="s">
        <v>353</v>
      </c>
      <c r="I121" s="2" t="s">
        <v>380</v>
      </c>
      <c r="J121" s="108" t="s">
        <v>628</v>
      </c>
      <c r="K121" s="109"/>
      <c r="L121" s="83">
        <f>SUM(L122:L141)</f>
        <v>0</v>
      </c>
    </row>
    <row r="122" spans="1:12" s="1" customFormat="1" ht="72.75" customHeight="1" x14ac:dyDescent="0.2">
      <c r="A122" s="22" t="s">
        <v>184</v>
      </c>
      <c r="B122" s="20" t="s">
        <v>612</v>
      </c>
      <c r="C122" s="15"/>
      <c r="D122" s="15"/>
      <c r="E122" s="15"/>
      <c r="F122" s="21"/>
      <c r="G122" s="58" t="str">
        <f>IF(C122="","",IF(C122="Yes","Provide a reference to your BCP and supporting documentation or submit it along with this fully-populated questionnaire. Please also describe how you ensure data availability in the event of the loss of systems or facilities.","Briefly summarize your response."))</f>
        <v/>
      </c>
      <c r="H122" s="35">
        <v>21</v>
      </c>
      <c r="I122" s="36" t="s">
        <v>430</v>
      </c>
      <c r="J122" s="84"/>
      <c r="K122" s="87"/>
      <c r="L122" s="85">
        <f t="shared" si="2"/>
        <v>0</v>
      </c>
    </row>
    <row r="123" spans="1:12" s="1" customFormat="1" ht="48" customHeight="1" x14ac:dyDescent="0.2">
      <c r="A123" s="22" t="s">
        <v>185</v>
      </c>
      <c r="B123" s="20" t="s">
        <v>35</v>
      </c>
      <c r="C123" s="15"/>
      <c r="D123" s="15"/>
      <c r="E123" s="15"/>
      <c r="F123" s="21"/>
      <c r="G123" s="58" t="str">
        <f>IF(C123="","",IF(C123="Yes","Describe your BCP component review strategy.","Describe any plans to annually review and update (as needed) your BCP."))</f>
        <v/>
      </c>
      <c r="H123" s="35"/>
      <c r="I123" s="36" t="s">
        <v>431</v>
      </c>
      <c r="J123" s="84"/>
      <c r="K123" s="87"/>
      <c r="L123" s="85">
        <f t="shared" si="2"/>
        <v>0</v>
      </c>
    </row>
    <row r="124" spans="1:12" s="1" customFormat="1" ht="48" customHeight="1" x14ac:dyDescent="0.2">
      <c r="A124" s="8" t="s">
        <v>186</v>
      </c>
      <c r="B124" s="20" t="s">
        <v>36</v>
      </c>
      <c r="C124" s="15"/>
      <c r="D124" s="15"/>
      <c r="E124" s="15"/>
      <c r="F124" s="21"/>
      <c r="G124" s="58" t="str">
        <f>IF(C124="","",IF(C124="Yes","State the date of your last BCP test.","Describe your strategy to implement annual BCP testing."))</f>
        <v/>
      </c>
      <c r="H124" s="35"/>
      <c r="I124" s="36"/>
      <c r="J124" s="84"/>
      <c r="K124" s="87"/>
      <c r="L124" s="85">
        <f t="shared" si="2"/>
        <v>0</v>
      </c>
    </row>
    <row r="125" spans="1:12" s="1" customFormat="1" ht="64.349999999999994" customHeight="1" x14ac:dyDescent="0.2">
      <c r="A125" s="22" t="s">
        <v>187</v>
      </c>
      <c r="B125" s="20" t="s">
        <v>105</v>
      </c>
      <c r="C125" s="15"/>
      <c r="D125" s="15"/>
      <c r="E125" s="15"/>
      <c r="F125" s="21"/>
      <c r="G125" s="56" t="str">
        <f>IF(C125="","",IF(C125="Yes","Provide your data privacy document. Indicate if the process ensures collection, storage, use, access, sharing, transport, retention and deletion of data in accordance with applicable law, privacy policy, privacy notices, and industry standard practices.","Describe plans to implement a data privacy process."))</f>
        <v/>
      </c>
      <c r="H125" s="35"/>
      <c r="I125" s="36" t="s">
        <v>432</v>
      </c>
      <c r="J125" s="84"/>
      <c r="K125" s="87"/>
      <c r="L125" s="85">
        <f t="shared" si="2"/>
        <v>0</v>
      </c>
    </row>
    <row r="126" spans="1:12" s="1" customFormat="1" ht="64.349999999999994" customHeight="1" x14ac:dyDescent="0.2">
      <c r="A126" s="22" t="s">
        <v>188</v>
      </c>
      <c r="B126" s="20" t="s">
        <v>519</v>
      </c>
      <c r="C126" s="15"/>
      <c r="D126" s="15"/>
      <c r="E126" s="15"/>
      <c r="F126" s="21"/>
      <c r="G126" s="56" t="str">
        <f>IF(C126="","",IF(C126="Yes","Provide a reference to the requested documents, or provide them when submitting this fully-populated questionnaire.","State any plans to provide system and/or application architecture diagrams."))</f>
        <v/>
      </c>
      <c r="H126" s="35"/>
      <c r="I126" s="36" t="s">
        <v>433</v>
      </c>
      <c r="J126" s="84"/>
      <c r="K126" s="87"/>
      <c r="L126" s="85">
        <f t="shared" si="2"/>
        <v>0</v>
      </c>
    </row>
    <row r="127" spans="1:12" s="1" customFormat="1" ht="64.349999999999994" customHeight="1" x14ac:dyDescent="0.2">
      <c r="A127" s="22" t="s">
        <v>189</v>
      </c>
      <c r="B127" s="20" t="s">
        <v>520</v>
      </c>
      <c r="C127" s="15"/>
      <c r="D127" s="15"/>
      <c r="E127" s="15"/>
      <c r="F127" s="21"/>
      <c r="G127" s="60" t="str">
        <f>IF(C127="","",IF(C127="Yes","Provide details of these procedures (link or attached).","Provide a detailed summary for this response, including your current end-of-life procedures."))</f>
        <v/>
      </c>
      <c r="H127" s="35">
        <v>40</v>
      </c>
      <c r="I127" s="36" t="s">
        <v>434</v>
      </c>
      <c r="J127" s="84"/>
      <c r="K127" s="87"/>
      <c r="L127" s="85">
        <f t="shared" si="2"/>
        <v>0</v>
      </c>
    </row>
    <row r="128" spans="1:12" s="1" customFormat="1" ht="64.349999999999994" customHeight="1" x14ac:dyDescent="0.2">
      <c r="A128" s="22" t="s">
        <v>190</v>
      </c>
      <c r="B128" s="20" t="s">
        <v>492</v>
      </c>
      <c r="C128" s="15"/>
      <c r="D128" s="15"/>
      <c r="E128" s="15"/>
      <c r="F128" s="21"/>
      <c r="G128" s="60" t="str">
        <f>IF(C128="","",IF(C128="Yes","Please provide a brief description of this process.","State plans to support secure deletion for archived/backed-up Utility data."))</f>
        <v/>
      </c>
      <c r="H128" s="35">
        <v>46</v>
      </c>
      <c r="I128" s="36" t="s">
        <v>435</v>
      </c>
      <c r="J128" s="84"/>
      <c r="K128" s="87"/>
      <c r="L128" s="85">
        <f t="shared" si="2"/>
        <v>0</v>
      </c>
    </row>
    <row r="129" spans="1:176" s="1" customFormat="1" ht="85.5" x14ac:dyDescent="0.2">
      <c r="A129" s="22" t="s">
        <v>191</v>
      </c>
      <c r="B129" s="20" t="s">
        <v>504</v>
      </c>
      <c r="C129" s="15"/>
      <c r="D129" s="15"/>
      <c r="E129" s="15"/>
      <c r="F129" s="21"/>
      <c r="G129" s="60" t="s">
        <v>637</v>
      </c>
      <c r="H129" s="35">
        <v>24</v>
      </c>
      <c r="I129" s="36" t="s">
        <v>436</v>
      </c>
      <c r="J129" s="84"/>
      <c r="K129" s="87"/>
      <c r="L129" s="85">
        <f t="shared" si="2"/>
        <v>0</v>
      </c>
    </row>
    <row r="130" spans="1:176" s="1" customFormat="1" ht="102.95" customHeight="1" x14ac:dyDescent="0.2">
      <c r="A130" s="22" t="s">
        <v>192</v>
      </c>
      <c r="B130" s="20" t="s">
        <v>521</v>
      </c>
      <c r="C130" s="15"/>
      <c r="D130" s="15"/>
      <c r="E130" s="15"/>
      <c r="F130" s="21"/>
      <c r="G130" s="60" t="str">
        <f>IF(C130="","",IF(C130="Yes","Please describe this program in adequate detail.",""))</f>
        <v/>
      </c>
      <c r="H130" s="35">
        <v>54</v>
      </c>
      <c r="I130" s="36" t="s">
        <v>437</v>
      </c>
      <c r="J130" s="84"/>
      <c r="K130" s="87"/>
      <c r="L130" s="85">
        <f t="shared" si="2"/>
        <v>0</v>
      </c>
    </row>
    <row r="131" spans="1:176" s="1" customFormat="1" ht="69" customHeight="1" x14ac:dyDescent="0.2">
      <c r="A131" s="22" t="s">
        <v>332</v>
      </c>
      <c r="B131" s="20" t="s">
        <v>656</v>
      </c>
      <c r="C131" s="15"/>
      <c r="D131" s="15"/>
      <c r="E131" s="15"/>
      <c r="F131" s="21"/>
      <c r="G131" s="60"/>
      <c r="H131" s="35">
        <v>58</v>
      </c>
      <c r="I131" s="36" t="s">
        <v>438</v>
      </c>
      <c r="J131" s="84"/>
      <c r="K131" s="87"/>
      <c r="L131" s="85">
        <f t="shared" si="2"/>
        <v>0</v>
      </c>
    </row>
    <row r="132" spans="1:176" s="1" customFormat="1" ht="69" customHeight="1" x14ac:dyDescent="0.2">
      <c r="A132" s="22" t="s">
        <v>193</v>
      </c>
      <c r="B132" s="20" t="s">
        <v>522</v>
      </c>
      <c r="C132" s="15"/>
      <c r="D132" s="15"/>
      <c r="E132" s="15"/>
      <c r="F132" s="21"/>
      <c r="G132" s="60" t="s">
        <v>322</v>
      </c>
      <c r="H132" s="35">
        <v>52</v>
      </c>
      <c r="I132" s="36" t="s">
        <v>439</v>
      </c>
      <c r="J132" s="84"/>
      <c r="K132" s="87"/>
      <c r="L132" s="85">
        <f t="shared" si="2"/>
        <v>0</v>
      </c>
    </row>
    <row r="133" spans="1:176" s="1" customFormat="1" ht="47.1" customHeight="1" x14ac:dyDescent="0.2">
      <c r="A133" s="8" t="s">
        <v>194</v>
      </c>
      <c r="B133" s="20" t="s">
        <v>112</v>
      </c>
      <c r="C133" s="15"/>
      <c r="D133" s="15"/>
      <c r="E133" s="15"/>
      <c r="F133" s="21"/>
      <c r="G133" s="58" t="str">
        <f>IF(C133="","",IF(C133="Yes","Summarize your defined problem/issue escalation plan contained in your BCP.","Describe any plans to define a problem/issue escalation plan in your BCP."))</f>
        <v/>
      </c>
      <c r="H133" s="35"/>
      <c r="I133" s="36"/>
      <c r="J133" s="84"/>
      <c r="K133" s="87"/>
      <c r="L133" s="85">
        <f t="shared" si="2"/>
        <v>0</v>
      </c>
    </row>
    <row r="134" spans="1:176" s="1" customFormat="1" ht="64.349999999999994" customHeight="1" x14ac:dyDescent="0.2">
      <c r="A134" s="8" t="s">
        <v>195</v>
      </c>
      <c r="B134" s="20" t="s">
        <v>523</v>
      </c>
      <c r="C134" s="15"/>
      <c r="D134" s="15"/>
      <c r="E134" s="15"/>
      <c r="F134" s="26"/>
      <c r="G134" s="58" t="str">
        <f>IF(C134="","",IF(C134="Yes","Provide a valid URL to your current DRP or submit it along with this fully-populated questionnaire.","Describe any plans to develop a Disaster Recovery Plan (DRP)."))</f>
        <v/>
      </c>
      <c r="H134" s="35"/>
      <c r="I134" s="36"/>
      <c r="J134" s="84"/>
      <c r="K134" s="87"/>
      <c r="L134" s="85">
        <f t="shared" si="2"/>
        <v>0</v>
      </c>
    </row>
    <row r="135" spans="1:176" s="1" customFormat="1" ht="64.349999999999994" customHeight="1" x14ac:dyDescent="0.2">
      <c r="A135" s="8" t="s">
        <v>196</v>
      </c>
      <c r="B135" s="20" t="s">
        <v>524</v>
      </c>
      <c r="C135" s="15"/>
      <c r="D135" s="15"/>
      <c r="E135" s="15"/>
      <c r="F135" s="21"/>
      <c r="G135" s="59" t="str">
        <f>IF(C135="","",IF(C135="Yes","Provide links to these documents in Additional Information or attach them with your submission. Include the responsible party for your information security program and the size of your security staff.","Provide a brief summary for this response."))</f>
        <v/>
      </c>
      <c r="H135" s="35"/>
      <c r="I135" s="36"/>
      <c r="J135" s="84"/>
      <c r="K135" s="87"/>
      <c r="L135" s="85">
        <f>J135*K135</f>
        <v>0</v>
      </c>
    </row>
    <row r="136" spans="1:176" s="1" customFormat="1" ht="64.349999999999994" customHeight="1" x14ac:dyDescent="0.2">
      <c r="A136" s="8" t="s">
        <v>197</v>
      </c>
      <c r="B136" s="20" t="s">
        <v>152</v>
      </c>
      <c r="C136" s="15"/>
      <c r="D136" s="15"/>
      <c r="E136" s="15"/>
      <c r="F136" s="21"/>
      <c r="G136" s="58" t="str">
        <f>IF(C136="","",IF(C136="Yes","Describe how data will be returned to the utility and in what format will it be presented, as well as how data will be securely deleted from your systems.","Summarize why the Utility's data won't be returned, and plans to implement secure deletion of Utility data."))</f>
        <v/>
      </c>
      <c r="H136" s="35"/>
      <c r="I136" s="36"/>
      <c r="J136" s="84"/>
      <c r="K136" s="87"/>
      <c r="L136" s="85">
        <f t="shared" si="2"/>
        <v>0</v>
      </c>
    </row>
    <row r="137" spans="1:176" s="1" customFormat="1" ht="64.349999999999994" customHeight="1" x14ac:dyDescent="0.2">
      <c r="A137" s="8" t="s">
        <v>198</v>
      </c>
      <c r="B137" s="20" t="s">
        <v>153</v>
      </c>
      <c r="C137" s="15"/>
      <c r="D137" s="15"/>
      <c r="E137" s="15"/>
      <c r="F137" s="21"/>
      <c r="G137" s="56" t="str">
        <f>IF(C137="","",IF(C137="Yes","Provide a reference to the requested documents, or provide them when submitting this fully-populated questionnaire.","State any plans to develop or provide data retention policies for Utility data."))</f>
        <v/>
      </c>
      <c r="H137" s="35"/>
      <c r="I137" s="36"/>
      <c r="J137" s="84"/>
      <c r="K137" s="87"/>
      <c r="L137" s="85">
        <f t="shared" si="2"/>
        <v>0</v>
      </c>
    </row>
    <row r="138" spans="1:176" s="1" customFormat="1" ht="84.95" customHeight="1" x14ac:dyDescent="0.2">
      <c r="A138" s="8" t="s">
        <v>257</v>
      </c>
      <c r="B138" s="20" t="s">
        <v>525</v>
      </c>
      <c r="C138" s="15"/>
      <c r="D138" s="15"/>
      <c r="E138" s="15"/>
      <c r="F138" s="21"/>
      <c r="G138" s="58" t="str">
        <f>IF(C138="","",IF(C138="Yes","Provide reference to or attach your data ownership documention.","Describe in detail why ownership rights are not retained by the utility."))</f>
        <v/>
      </c>
      <c r="H138" s="35"/>
      <c r="I138" s="36"/>
      <c r="J138" s="84"/>
      <c r="K138" s="87"/>
      <c r="L138" s="85">
        <f t="shared" si="2"/>
        <v>0</v>
      </c>
    </row>
    <row r="139" spans="1:176" s="1" customFormat="1" ht="64.349999999999994" customHeight="1" x14ac:dyDescent="0.2">
      <c r="A139" s="8" t="s">
        <v>276</v>
      </c>
      <c r="B139" s="20" t="s">
        <v>66</v>
      </c>
      <c r="C139" s="15"/>
      <c r="D139" s="15"/>
      <c r="E139" s="15"/>
      <c r="F139" s="21"/>
      <c r="G139" s="60" t="str">
        <f>IF(C139="","",IF(C139="Yes","Provide a general summary of your long-term data retention strategy.","State plans to implement a long-term data retention strategy."))</f>
        <v/>
      </c>
      <c r="H139" s="35"/>
      <c r="I139" s="36"/>
      <c r="J139" s="84"/>
      <c r="K139" s="87"/>
      <c r="L139" s="85">
        <f t="shared" si="2"/>
        <v>0</v>
      </c>
    </row>
    <row r="140" spans="1:176" s="1" customFormat="1" ht="64.349999999999994" customHeight="1" x14ac:dyDescent="0.2">
      <c r="A140" s="8" t="s">
        <v>318</v>
      </c>
      <c r="B140" s="20" t="s">
        <v>657</v>
      </c>
      <c r="C140" s="15"/>
      <c r="D140" s="15"/>
      <c r="E140" s="15"/>
      <c r="F140" s="21"/>
      <c r="G140" s="60" t="str">
        <f>IF(C140="","",IF(C140="Yes","Describe how compliance is integrated into your process and procedures.","State plans to handle data in a compliant manner."))</f>
        <v/>
      </c>
      <c r="H140" s="35"/>
      <c r="I140" s="36"/>
      <c r="J140" s="84"/>
      <c r="K140" s="87"/>
      <c r="L140" s="85">
        <f t="shared" si="2"/>
        <v>0</v>
      </c>
    </row>
    <row r="141" spans="1:176" s="65" customFormat="1" ht="64.349999999999994" customHeight="1" x14ac:dyDescent="0.2">
      <c r="A141" s="22" t="s">
        <v>599</v>
      </c>
      <c r="B141" s="20" t="s">
        <v>602</v>
      </c>
      <c r="C141" s="15"/>
      <c r="D141" s="15"/>
      <c r="E141" s="15"/>
      <c r="F141" s="21"/>
      <c r="G141" s="68"/>
      <c r="H141" s="35">
        <v>20.100000000000001</v>
      </c>
      <c r="I141" s="41"/>
      <c r="J141" s="84"/>
      <c r="K141" s="87"/>
      <c r="L141" s="85">
        <f t="shared" si="2"/>
        <v>0</v>
      </c>
    </row>
    <row r="142" spans="1:176" s="1" customFormat="1" ht="53.45" customHeight="1" x14ac:dyDescent="0.2">
      <c r="A142" s="120" t="s">
        <v>146</v>
      </c>
      <c r="B142" s="120"/>
      <c r="C142" s="2" t="s">
        <v>574</v>
      </c>
      <c r="D142" s="2" t="s">
        <v>575</v>
      </c>
      <c r="E142" s="2" t="s">
        <v>104</v>
      </c>
      <c r="F142" s="2" t="s">
        <v>17</v>
      </c>
      <c r="G142" s="2" t="s">
        <v>18</v>
      </c>
      <c r="H142" s="2" t="s">
        <v>353</v>
      </c>
      <c r="I142" s="2" t="s">
        <v>380</v>
      </c>
      <c r="J142" s="108" t="s">
        <v>628</v>
      </c>
      <c r="K142" s="109"/>
      <c r="L142" s="83">
        <f>SUM(L143:L156)</f>
        <v>0</v>
      </c>
    </row>
    <row r="143" spans="1:176" s="1" customFormat="1" ht="84" customHeight="1" x14ac:dyDescent="0.2">
      <c r="A143" s="22" t="s">
        <v>37</v>
      </c>
      <c r="B143" s="20" t="s">
        <v>330</v>
      </c>
      <c r="C143" s="15"/>
      <c r="D143" s="15"/>
      <c r="E143" s="15"/>
      <c r="F143" s="21"/>
      <c r="G143" s="58" t="str">
        <f>IF(C143="","",IF(C143="Yes","Summarize your current change management process.","Describe current plans to implement a change management process."))</f>
        <v/>
      </c>
      <c r="H143" s="35"/>
      <c r="I143" s="36"/>
      <c r="J143" s="84"/>
      <c r="K143" s="87"/>
      <c r="L143" s="85">
        <f t="shared" ref="L143:L206" si="3">J143*K143</f>
        <v>0</v>
      </c>
    </row>
    <row r="144" spans="1:176" ht="78" customHeight="1" x14ac:dyDescent="0.2">
      <c r="A144" s="22" t="s">
        <v>38</v>
      </c>
      <c r="B144" s="20" t="s">
        <v>252</v>
      </c>
      <c r="C144" s="15"/>
      <c r="D144" s="15"/>
      <c r="E144" s="15"/>
      <c r="F144" s="24"/>
      <c r="G144" s="58" t="str">
        <f>IF(C144="","",IF(C144="Yes","Describe how this is accomplished within your environment.","Describe your plans to ensure that only application software verifiable as authorized, tested, and approved for production, is placed into production."))</f>
        <v/>
      </c>
      <c r="H144" s="35"/>
      <c r="I144" s="36" t="s">
        <v>440</v>
      </c>
      <c r="J144" s="84"/>
      <c r="K144" s="87"/>
      <c r="L144" s="85">
        <f t="shared" si="3"/>
        <v>0</v>
      </c>
      <c r="FT144"/>
    </row>
    <row r="145" spans="1:176" ht="48" customHeight="1" x14ac:dyDescent="0.2">
      <c r="A145" s="22" t="s">
        <v>39</v>
      </c>
      <c r="B145" s="20" t="s">
        <v>331</v>
      </c>
      <c r="C145" s="15"/>
      <c r="D145" s="15"/>
      <c r="E145" s="15"/>
      <c r="F145" s="24"/>
      <c r="G145" s="58" t="s">
        <v>313</v>
      </c>
      <c r="H145" s="35">
        <v>50</v>
      </c>
      <c r="I145" s="36" t="s">
        <v>441</v>
      </c>
      <c r="J145" s="84"/>
      <c r="K145" s="87"/>
      <c r="L145" s="85">
        <f t="shared" si="3"/>
        <v>0</v>
      </c>
      <c r="FT145"/>
    </row>
    <row r="146" spans="1:176" ht="48" customHeight="1" x14ac:dyDescent="0.2">
      <c r="A146" s="22" t="s">
        <v>40</v>
      </c>
      <c r="B146" s="20" t="s">
        <v>320</v>
      </c>
      <c r="C146" s="15"/>
      <c r="D146" s="15"/>
      <c r="E146" s="15"/>
      <c r="F146" s="21"/>
      <c r="G146" s="60"/>
      <c r="H146" s="35">
        <v>56</v>
      </c>
      <c r="I146" s="36" t="s">
        <v>442</v>
      </c>
      <c r="J146" s="84"/>
      <c r="K146" s="87"/>
      <c r="L146" s="85">
        <f t="shared" si="3"/>
        <v>0</v>
      </c>
      <c r="FT146"/>
    </row>
    <row r="147" spans="1:176" s="1" customFormat="1" ht="48" customHeight="1" x14ac:dyDescent="0.2">
      <c r="A147" s="22" t="s">
        <v>42</v>
      </c>
      <c r="B147" s="20" t="s">
        <v>526</v>
      </c>
      <c r="C147" s="15"/>
      <c r="D147" s="15"/>
      <c r="E147" s="15"/>
      <c r="F147" s="21"/>
      <c r="G147" s="58" t="str">
        <f>IF(C147="","",IF(C147="Yes","Summarize your implemented system configuration management process.","Describe how system configuration management is currently handled in your environment."))</f>
        <v/>
      </c>
      <c r="H147" s="35"/>
      <c r="I147" s="36"/>
      <c r="J147" s="84"/>
      <c r="K147" s="87"/>
      <c r="L147" s="85">
        <f t="shared" si="3"/>
        <v>0</v>
      </c>
    </row>
    <row r="148" spans="1:176" s="1" customFormat="1" ht="48" customHeight="1" x14ac:dyDescent="0.2">
      <c r="A148" s="22" t="s">
        <v>43</v>
      </c>
      <c r="B148" s="20" t="s">
        <v>84</v>
      </c>
      <c r="C148" s="15"/>
      <c r="D148" s="15"/>
      <c r="E148" s="15"/>
      <c r="F148" s="26"/>
      <c r="G148" s="59" t="str">
        <f>IF(C148="","",IF(C148="Yes","Summarize your systems management and configuration strategy.","Describe your intent to implement a systems management and configuration strategy."))</f>
        <v/>
      </c>
      <c r="H148" s="35"/>
      <c r="I148" s="36"/>
      <c r="J148" s="84"/>
      <c r="K148" s="87"/>
      <c r="L148" s="85">
        <f t="shared" si="3"/>
        <v>0</v>
      </c>
    </row>
    <row r="149" spans="1:176" s="1" customFormat="1" ht="90" customHeight="1" x14ac:dyDescent="0.2">
      <c r="A149" s="22" t="s">
        <v>44</v>
      </c>
      <c r="B149" s="20" t="s">
        <v>122</v>
      </c>
      <c r="C149" s="26"/>
      <c r="D149" s="26"/>
      <c r="E149" s="26"/>
      <c r="F149" s="26"/>
      <c r="G149" s="58" t="s">
        <v>580</v>
      </c>
      <c r="H149" s="35"/>
      <c r="I149" s="36"/>
      <c r="J149" s="84"/>
      <c r="K149" s="87"/>
      <c r="L149" s="85">
        <f t="shared" si="3"/>
        <v>0</v>
      </c>
    </row>
    <row r="150" spans="1:176" ht="64.349999999999994" customHeight="1" x14ac:dyDescent="0.2">
      <c r="A150" s="22" t="s">
        <v>45</v>
      </c>
      <c r="B150" s="20" t="s">
        <v>527</v>
      </c>
      <c r="C150" s="15"/>
      <c r="D150" s="15"/>
      <c r="E150" s="15"/>
      <c r="F150" s="24"/>
      <c r="G150" s="60" t="str">
        <f>IF(C150="","",IF(C150="Yes","State how and when the utility will be notified of major changes to your environment.","Describe plans to establish a formal notification mechanism for major environmental changes."))</f>
        <v/>
      </c>
      <c r="H150" s="35"/>
      <c r="I150" s="36"/>
      <c r="J150" s="84"/>
      <c r="K150" s="87"/>
      <c r="L150" s="85">
        <f t="shared" si="3"/>
        <v>0</v>
      </c>
      <c r="FT150"/>
    </row>
    <row r="151" spans="1:176" ht="64.349999999999994" customHeight="1" x14ac:dyDescent="0.2">
      <c r="A151" s="22" t="s">
        <v>46</v>
      </c>
      <c r="B151" s="20" t="s">
        <v>41</v>
      </c>
      <c r="C151" s="15"/>
      <c r="D151" s="15"/>
      <c r="E151" s="15"/>
      <c r="F151" s="24"/>
      <c r="G151" s="60" t="str">
        <f>IF(C151="","",IF(C151="Yes","Summarize or provide a reference to the process/procedure to manage releases.","Summarize why clients do not have alternative release options."))</f>
        <v/>
      </c>
      <c r="H151" s="35"/>
      <c r="I151" s="36"/>
      <c r="J151" s="84"/>
      <c r="K151" s="87"/>
      <c r="L151" s="85">
        <f t="shared" si="3"/>
        <v>0</v>
      </c>
      <c r="FT151"/>
    </row>
    <row r="152" spans="1:176" ht="64.349999999999994" customHeight="1" x14ac:dyDescent="0.2">
      <c r="A152" s="22" t="s">
        <v>199</v>
      </c>
      <c r="B152" s="20" t="s">
        <v>123</v>
      </c>
      <c r="C152" s="15"/>
      <c r="D152" s="15"/>
      <c r="E152" s="15"/>
      <c r="F152" s="24"/>
      <c r="G152" s="60" t="str">
        <f>IF(C152="","",IF(C152="Yes","Please describe your support strategy.",""))</f>
        <v/>
      </c>
      <c r="H152" s="35"/>
      <c r="I152" s="36"/>
      <c r="J152" s="84"/>
      <c r="K152" s="87"/>
      <c r="L152" s="85">
        <f t="shared" si="3"/>
        <v>0</v>
      </c>
      <c r="FT152"/>
    </row>
    <row r="153" spans="1:176" ht="64.349999999999994" customHeight="1" x14ac:dyDescent="0.2">
      <c r="A153" s="22" t="s">
        <v>47</v>
      </c>
      <c r="B153" s="20" t="s">
        <v>113</v>
      </c>
      <c r="C153" s="15"/>
      <c r="D153" s="15"/>
      <c r="E153" s="15"/>
      <c r="F153" s="24"/>
      <c r="G153" s="58" t="str">
        <f>IF(C153="","",IF(C153="Yes","Describe how this is accomplished within your system.","Describe any business or technical reasons why customizations are not supported."))</f>
        <v/>
      </c>
      <c r="H153" s="35"/>
      <c r="I153" s="36"/>
      <c r="J153" s="84"/>
      <c r="K153" s="87"/>
      <c r="L153" s="85">
        <f t="shared" si="3"/>
        <v>0</v>
      </c>
      <c r="FT153"/>
    </row>
    <row r="154" spans="1:176" ht="95.25" customHeight="1" x14ac:dyDescent="0.2">
      <c r="A154" s="22" t="s">
        <v>48</v>
      </c>
      <c r="B154" s="20" t="s">
        <v>528</v>
      </c>
      <c r="C154" s="15"/>
      <c r="D154" s="15"/>
      <c r="E154" s="15"/>
      <c r="F154" s="24"/>
      <c r="G154" s="58" t="str">
        <f>IF(C154="","",IF(C154="Yes","Please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54" s="35"/>
      <c r="I154" s="36"/>
      <c r="J154" s="84"/>
      <c r="K154" s="87"/>
      <c r="L154" s="85">
        <f t="shared" si="3"/>
        <v>0</v>
      </c>
      <c r="FT154"/>
    </row>
    <row r="155" spans="1:176" ht="64.349999999999994" customHeight="1" x14ac:dyDescent="0.2">
      <c r="A155" s="22" t="s">
        <v>200</v>
      </c>
      <c r="B155" s="20" t="s">
        <v>529</v>
      </c>
      <c r="C155" s="15"/>
      <c r="D155" s="15"/>
      <c r="E155" s="15"/>
      <c r="F155" s="33"/>
      <c r="G155" s="58" t="str">
        <f>IF(C155="","",IF(C155="Yes","Summarize the policy and procedure(s) guiding risk mitigation practices before critical patches can be applied and provide a copy if available.","State your plans to implement policy and procedure(s) guiding risk mitigation practices before critical patches can be applied."))</f>
        <v/>
      </c>
      <c r="H155" s="35"/>
      <c r="I155" s="36"/>
      <c r="J155" s="84"/>
      <c r="K155" s="87"/>
      <c r="L155" s="85">
        <f t="shared" si="3"/>
        <v>0</v>
      </c>
      <c r="FT155"/>
    </row>
    <row r="156" spans="1:176" ht="59.1" customHeight="1" x14ac:dyDescent="0.2">
      <c r="A156" s="22" t="s">
        <v>319</v>
      </c>
      <c r="B156" s="20" t="s">
        <v>73</v>
      </c>
      <c r="C156" s="15"/>
      <c r="D156" s="15"/>
      <c r="E156" s="15"/>
      <c r="F156" s="33"/>
      <c r="G156" s="58" t="str">
        <f>IF(C156="","",IF(C156="Yes","Please describe the policy, including required approvals, for firewall change requests.","State your plans to implement a firewall change request policy or procedure."))</f>
        <v/>
      </c>
      <c r="H156" s="35"/>
      <c r="I156" s="36"/>
      <c r="J156" s="84"/>
      <c r="K156" s="87"/>
      <c r="L156" s="85">
        <f t="shared" si="3"/>
        <v>0</v>
      </c>
      <c r="FT156"/>
    </row>
    <row r="157" spans="1:176" ht="54" x14ac:dyDescent="0.2">
      <c r="A157" s="120" t="s">
        <v>151</v>
      </c>
      <c r="B157" s="120"/>
      <c r="C157" s="2" t="s">
        <v>574</v>
      </c>
      <c r="D157" s="2" t="s">
        <v>575</v>
      </c>
      <c r="E157" s="2" t="s">
        <v>104</v>
      </c>
      <c r="F157" s="2" t="s">
        <v>17</v>
      </c>
      <c r="G157" s="2" t="s">
        <v>18</v>
      </c>
      <c r="H157" s="2" t="s">
        <v>353</v>
      </c>
      <c r="I157" s="2" t="s">
        <v>380</v>
      </c>
      <c r="J157" s="108" t="s">
        <v>628</v>
      </c>
      <c r="K157" s="109"/>
      <c r="L157" s="83">
        <f>SUM(L158:L181)</f>
        <v>0</v>
      </c>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row>
    <row r="158" spans="1:176" ht="48" customHeight="1" x14ac:dyDescent="0.2">
      <c r="A158" s="22" t="s">
        <v>333</v>
      </c>
      <c r="B158" s="20" t="s">
        <v>613</v>
      </c>
      <c r="C158" s="15"/>
      <c r="D158" s="15"/>
      <c r="E158" s="15"/>
      <c r="F158" s="14"/>
      <c r="G158" s="58" t="str">
        <f>IF(C158="","",IF(C158="Yes","Provide a general summary of your archival environment.","State plans to store long-term media in environmentally protected areas."))</f>
        <v/>
      </c>
      <c r="H158" s="38"/>
      <c r="I158" s="38" t="s">
        <v>443</v>
      </c>
      <c r="J158" s="84"/>
      <c r="K158" s="87"/>
      <c r="L158" s="85">
        <f t="shared" si="3"/>
        <v>0</v>
      </c>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row>
    <row r="159" spans="1:176" ht="81" customHeight="1" x14ac:dyDescent="0.2">
      <c r="A159" s="22" t="s">
        <v>334</v>
      </c>
      <c r="B159" s="20" t="s">
        <v>530</v>
      </c>
      <c r="C159" s="15"/>
      <c r="D159" s="15"/>
      <c r="E159" s="15"/>
      <c r="F159" s="21"/>
      <c r="G159" s="58" t="str">
        <f>IF(C159="","",IF(C159="Yes","","Please state the owner of the physical data center where the utility's data will reside."))</f>
        <v/>
      </c>
      <c r="H159" s="38"/>
      <c r="I159" s="38" t="s">
        <v>444</v>
      </c>
      <c r="J159" s="84"/>
      <c r="K159" s="87"/>
      <c r="L159" s="85">
        <f t="shared" si="3"/>
        <v>0</v>
      </c>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row>
    <row r="160" spans="1:176" ht="48" customHeight="1" x14ac:dyDescent="0.2">
      <c r="A160" s="22" t="s">
        <v>335</v>
      </c>
      <c r="B160" s="20" t="s">
        <v>70</v>
      </c>
      <c r="C160" s="15"/>
      <c r="D160" s="15"/>
      <c r="E160" s="15"/>
      <c r="F160" s="21"/>
      <c r="G160" s="58" t="str">
        <f>IF(C160="","",IF(C160="Yes","","Please describe security controls that prevent unauthorized physical contacts with your devices."))</f>
        <v/>
      </c>
      <c r="H160" s="38"/>
      <c r="I160" s="38"/>
      <c r="J160" s="84"/>
      <c r="K160" s="87"/>
      <c r="L160" s="85">
        <f t="shared" si="3"/>
        <v>0</v>
      </c>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row>
    <row r="161" spans="1:176" ht="48" customHeight="1" x14ac:dyDescent="0.2">
      <c r="A161" s="22" t="s">
        <v>336</v>
      </c>
      <c r="B161" s="20" t="s">
        <v>531</v>
      </c>
      <c r="C161" s="15"/>
      <c r="D161" s="15"/>
      <c r="E161" s="15"/>
      <c r="F161" s="21"/>
      <c r="G161" s="58"/>
      <c r="H161" s="38"/>
      <c r="I161" s="38"/>
      <c r="J161" s="84"/>
      <c r="K161" s="87"/>
      <c r="L161" s="85">
        <f t="shared" si="3"/>
        <v>0</v>
      </c>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row>
    <row r="162" spans="1:176" ht="48" customHeight="1" x14ac:dyDescent="0.2">
      <c r="A162" s="22" t="s">
        <v>337</v>
      </c>
      <c r="B162" s="20" t="s">
        <v>532</v>
      </c>
      <c r="C162" s="15"/>
      <c r="D162" s="15"/>
      <c r="E162" s="15"/>
      <c r="F162" s="17"/>
      <c r="G162" s="58" t="str">
        <f>IF(C162="","",IF(C162="Yes","Please describe how this is accomplished, including the process by which it is ensure that access has been approved before it is provisioned.","Please describe plans to implement appropriate segregation of duties."))</f>
        <v/>
      </c>
      <c r="H162" s="38"/>
      <c r="I162" s="38" t="s">
        <v>445</v>
      </c>
      <c r="J162" s="84"/>
      <c r="K162" s="87"/>
      <c r="L162" s="85">
        <f t="shared" si="3"/>
        <v>0</v>
      </c>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row>
    <row r="163" spans="1:176" ht="57" x14ac:dyDescent="0.2">
      <c r="A163" s="22" t="s">
        <v>338</v>
      </c>
      <c r="B163" s="20" t="s">
        <v>114</v>
      </c>
      <c r="C163" s="15"/>
      <c r="D163" s="15"/>
      <c r="E163" s="15"/>
      <c r="F163" s="26"/>
      <c r="G163" s="58" t="s">
        <v>62</v>
      </c>
      <c r="H163" s="38"/>
      <c r="I163" s="38"/>
      <c r="J163" s="84"/>
      <c r="K163" s="87"/>
      <c r="L163" s="85">
        <f t="shared" si="3"/>
        <v>0</v>
      </c>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row>
    <row r="164" spans="1:176" ht="48" customHeight="1" x14ac:dyDescent="0.2">
      <c r="A164" s="22" t="s">
        <v>339</v>
      </c>
      <c r="B164" s="20" t="s">
        <v>614</v>
      </c>
      <c r="C164" s="15"/>
      <c r="D164" s="15"/>
      <c r="E164" s="15"/>
      <c r="F164" s="14"/>
      <c r="G164" s="58" t="str">
        <f>IF(C164="","",IF(C164="Yes","","State plans to adhere to DoD 5220.22-M and/or NIST SP 800-88 standards."))</f>
        <v/>
      </c>
      <c r="H164" s="38"/>
      <c r="I164" s="38"/>
      <c r="J164" s="84"/>
      <c r="K164" s="87"/>
      <c r="L164" s="85">
        <f t="shared" si="3"/>
        <v>0</v>
      </c>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row>
    <row r="165" spans="1:176" ht="48" customHeight="1" x14ac:dyDescent="0.2">
      <c r="A165" s="22" t="s">
        <v>340</v>
      </c>
      <c r="B165" s="20" t="s">
        <v>71</v>
      </c>
      <c r="C165" s="15"/>
      <c r="D165" s="15"/>
      <c r="E165" s="15"/>
      <c r="F165" s="14"/>
      <c r="G165" s="58" t="str">
        <f>IF(C165="","",IF(C165="Yes","Describe how and where WAFs are currently implemented in your environment.","Describe any plans to implement a WAF in your environment."))</f>
        <v/>
      </c>
      <c r="H165" s="38"/>
      <c r="I165" s="38"/>
      <c r="J165" s="84"/>
      <c r="K165" s="87"/>
      <c r="L165" s="85">
        <f t="shared" si="3"/>
        <v>0</v>
      </c>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row>
    <row r="166" spans="1:176" ht="48" customHeight="1" x14ac:dyDescent="0.2">
      <c r="A166" s="22" t="s">
        <v>341</v>
      </c>
      <c r="B166" s="20" t="s">
        <v>72</v>
      </c>
      <c r="C166" s="15"/>
      <c r="D166" s="15"/>
      <c r="E166" s="15"/>
      <c r="F166" s="14"/>
      <c r="G166" s="58" t="str">
        <f>IF(C166="","",IF(C166="Yes","Describe how and where SPI firewalls are currently implemented in your environment.","State any plans to implement SPI firewalls in your environment."))</f>
        <v/>
      </c>
      <c r="H166" s="38"/>
      <c r="I166" s="38"/>
      <c r="J166" s="84"/>
      <c r="K166" s="87"/>
      <c r="L166" s="85">
        <f t="shared" si="3"/>
        <v>0</v>
      </c>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row>
    <row r="167" spans="1:176" ht="48" customHeight="1" x14ac:dyDescent="0.2">
      <c r="A167" s="22" t="s">
        <v>201</v>
      </c>
      <c r="B167" s="20" t="s">
        <v>533</v>
      </c>
      <c r="C167" s="14"/>
      <c r="D167" s="14"/>
      <c r="E167" s="14"/>
      <c r="F167" s="14"/>
      <c r="G167" s="58"/>
      <c r="H167" s="38"/>
      <c r="I167" s="38"/>
      <c r="J167" s="84"/>
      <c r="K167" s="87"/>
      <c r="L167" s="85">
        <f t="shared" si="3"/>
        <v>0</v>
      </c>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row>
    <row r="168" spans="1:176" ht="48" customHeight="1" x14ac:dyDescent="0.2">
      <c r="A168" s="22" t="s">
        <v>202</v>
      </c>
      <c r="B168" s="20" t="s">
        <v>74</v>
      </c>
      <c r="C168" s="15"/>
      <c r="D168" s="15"/>
      <c r="E168" s="15"/>
      <c r="F168" s="14"/>
      <c r="G168" s="58" t="str">
        <f>IF(C168="","",IF(C168="Yes","","Please describe for which network(s) and/or tool(s) audit logs are not available."))</f>
        <v/>
      </c>
      <c r="H168" s="38"/>
      <c r="I168" s="38"/>
      <c r="J168" s="84"/>
      <c r="K168" s="87"/>
      <c r="L168" s="85">
        <f t="shared" si="3"/>
        <v>0</v>
      </c>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row>
    <row r="169" spans="1:176" ht="48" customHeight="1" x14ac:dyDescent="0.2">
      <c r="A169" s="22" t="s">
        <v>203</v>
      </c>
      <c r="B169" s="20" t="s">
        <v>584</v>
      </c>
      <c r="C169" s="15"/>
      <c r="D169" s="15"/>
      <c r="E169" s="15"/>
      <c r="F169" s="14"/>
      <c r="G169" s="58" t="str">
        <f>IF(C169="","",IF(C169="Yes","Please describe how the development environments/systems are isolated.","Describe any plans to segregate development environments/systems from other networks."))</f>
        <v/>
      </c>
      <c r="H169" s="38"/>
      <c r="I169" s="38"/>
      <c r="J169" s="84"/>
      <c r="K169" s="87"/>
      <c r="L169" s="85">
        <f t="shared" si="3"/>
        <v>0</v>
      </c>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row>
    <row r="170" spans="1:176" ht="42.75" x14ac:dyDescent="0.2">
      <c r="A170" s="22" t="s">
        <v>204</v>
      </c>
      <c r="B170" s="20" t="s">
        <v>144</v>
      </c>
      <c r="C170" s="14"/>
      <c r="D170" s="14"/>
      <c r="E170" s="14"/>
      <c r="F170" s="14"/>
      <c r="G170" s="58"/>
      <c r="H170" s="38"/>
      <c r="I170" s="38"/>
      <c r="J170" s="84"/>
      <c r="K170" s="87"/>
      <c r="L170" s="85">
        <f t="shared" si="3"/>
        <v>0</v>
      </c>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row>
    <row r="171" spans="1:176" ht="48" customHeight="1" x14ac:dyDescent="0.2">
      <c r="A171" s="22" t="s">
        <v>205</v>
      </c>
      <c r="B171" s="20" t="s">
        <v>67</v>
      </c>
      <c r="C171" s="15"/>
      <c r="D171" s="15"/>
      <c r="E171" s="15"/>
      <c r="F171" s="14"/>
      <c r="G171" s="58" t="str">
        <f>IF(C171="","",IF(C171="Yes","Please provide a copy of the SOC 2 Type 2 audit report.","Describe any plans to conduct a SOC 2 Type 2 audit."))</f>
        <v/>
      </c>
      <c r="H171" s="38"/>
      <c r="I171" s="38"/>
      <c r="J171" s="84"/>
      <c r="K171" s="87"/>
      <c r="L171" s="85">
        <f t="shared" si="3"/>
        <v>0</v>
      </c>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row>
    <row r="172" spans="1:176" ht="48" customHeight="1" x14ac:dyDescent="0.2">
      <c r="A172" s="22" t="s">
        <v>206</v>
      </c>
      <c r="B172" s="20" t="s">
        <v>68</v>
      </c>
      <c r="C172" s="15"/>
      <c r="D172" s="15"/>
      <c r="E172" s="15"/>
      <c r="F172" s="14"/>
      <c r="G172" s="58"/>
      <c r="H172" s="38"/>
      <c r="I172" s="38"/>
      <c r="J172" s="84"/>
      <c r="K172" s="87"/>
      <c r="L172" s="85">
        <f t="shared" si="3"/>
        <v>0</v>
      </c>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row>
    <row r="173" spans="1:176" ht="48" customHeight="1" x14ac:dyDescent="0.2">
      <c r="A173" s="22" t="s">
        <v>207</v>
      </c>
      <c r="B173" s="20" t="s">
        <v>69</v>
      </c>
      <c r="C173" s="15"/>
      <c r="D173" s="15"/>
      <c r="E173" s="15"/>
      <c r="F173" s="14"/>
      <c r="G173" s="58" t="str">
        <f>IF(C173="","",IF(C173="Yes","","Please describe how your servers are physically separated/isolated from those of other customers."))</f>
        <v/>
      </c>
      <c r="H173" s="38"/>
      <c r="I173" s="38"/>
      <c r="J173" s="84"/>
      <c r="K173" s="87"/>
      <c r="L173" s="85">
        <f t="shared" si="3"/>
        <v>0</v>
      </c>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row>
    <row r="174" spans="1:176" ht="48" customHeight="1" x14ac:dyDescent="0.2">
      <c r="A174" s="22" t="s">
        <v>208</v>
      </c>
      <c r="B174" s="20" t="s">
        <v>658</v>
      </c>
      <c r="C174" s="15"/>
      <c r="D174" s="15"/>
      <c r="E174" s="15"/>
      <c r="F174" s="14"/>
      <c r="G174" s="58"/>
      <c r="H174" s="38"/>
      <c r="I174" s="38"/>
      <c r="J174" s="84"/>
      <c r="K174" s="87"/>
      <c r="L174" s="85">
        <f t="shared" si="3"/>
        <v>0</v>
      </c>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row>
    <row r="175" spans="1:176" ht="48" customHeight="1" x14ac:dyDescent="0.2">
      <c r="A175" s="22" t="s">
        <v>209</v>
      </c>
      <c r="B175" s="20" t="s">
        <v>534</v>
      </c>
      <c r="C175" s="15"/>
      <c r="D175" s="15"/>
      <c r="E175" s="15"/>
      <c r="F175" s="14"/>
      <c r="G175" s="58"/>
      <c r="H175" s="38"/>
      <c r="I175" s="38"/>
      <c r="J175" s="84"/>
      <c r="K175" s="87"/>
      <c r="L175" s="85">
        <f t="shared" si="3"/>
        <v>0</v>
      </c>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row>
    <row r="176" spans="1:176" ht="48" customHeight="1" x14ac:dyDescent="0.2">
      <c r="A176" s="22" t="s">
        <v>210</v>
      </c>
      <c r="B176" s="20" t="s">
        <v>535</v>
      </c>
      <c r="C176" s="14"/>
      <c r="D176" s="14"/>
      <c r="E176" s="14"/>
      <c r="F176" s="14"/>
      <c r="G176" s="58"/>
      <c r="H176" s="38"/>
      <c r="I176" s="38"/>
      <c r="J176" s="84"/>
      <c r="K176" s="87"/>
      <c r="L176" s="85">
        <f t="shared" si="3"/>
        <v>0</v>
      </c>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row>
    <row r="177" spans="1:176" ht="48" customHeight="1" x14ac:dyDescent="0.2">
      <c r="A177" s="22" t="s">
        <v>211</v>
      </c>
      <c r="B177" s="20" t="s">
        <v>536</v>
      </c>
      <c r="C177" s="15"/>
      <c r="D177" s="15"/>
      <c r="E177" s="15"/>
      <c r="F177" s="14"/>
      <c r="G177" s="58"/>
      <c r="H177" s="38"/>
      <c r="I177" s="38"/>
      <c r="J177" s="84"/>
      <c r="K177" s="87"/>
      <c r="L177" s="85">
        <f t="shared" si="3"/>
        <v>0</v>
      </c>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row>
    <row r="178" spans="1:176" ht="48" customHeight="1" x14ac:dyDescent="0.2">
      <c r="A178" s="22" t="s">
        <v>212</v>
      </c>
      <c r="B178" s="20" t="s">
        <v>79</v>
      </c>
      <c r="C178" s="15"/>
      <c r="D178" s="15"/>
      <c r="E178" s="15"/>
      <c r="F178" s="14"/>
      <c r="G178" s="58"/>
      <c r="H178" s="38"/>
      <c r="I178" s="38"/>
      <c r="J178" s="84"/>
      <c r="K178" s="87"/>
      <c r="L178" s="85">
        <f t="shared" si="3"/>
        <v>0</v>
      </c>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row>
    <row r="179" spans="1:176" ht="48" customHeight="1" x14ac:dyDescent="0.2">
      <c r="A179" s="22" t="s">
        <v>213</v>
      </c>
      <c r="B179" s="20" t="s">
        <v>107</v>
      </c>
      <c r="C179" s="15"/>
      <c r="D179" s="15"/>
      <c r="E179" s="15"/>
      <c r="F179" s="14"/>
      <c r="G179" s="58"/>
      <c r="H179" s="38"/>
      <c r="I179" s="38"/>
      <c r="J179" s="84"/>
      <c r="K179" s="87"/>
      <c r="L179" s="85">
        <f t="shared" si="3"/>
        <v>0</v>
      </c>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row>
    <row r="180" spans="1:176" ht="48" customHeight="1" x14ac:dyDescent="0.2">
      <c r="A180" s="22" t="s">
        <v>214</v>
      </c>
      <c r="B180" s="20" t="s">
        <v>108</v>
      </c>
      <c r="C180" s="15"/>
      <c r="D180" s="15"/>
      <c r="E180" s="15"/>
      <c r="F180" s="14"/>
      <c r="G180" s="58"/>
      <c r="H180" s="38"/>
      <c r="I180" s="38"/>
      <c r="J180" s="84"/>
      <c r="K180" s="87"/>
      <c r="L180" s="85">
        <f t="shared" si="3"/>
        <v>0</v>
      </c>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row>
    <row r="181" spans="1:176" ht="48" customHeight="1" x14ac:dyDescent="0.2">
      <c r="A181" s="22" t="s">
        <v>260</v>
      </c>
      <c r="B181" s="20" t="s">
        <v>253</v>
      </c>
      <c r="C181" s="15"/>
      <c r="D181" s="15"/>
      <c r="E181" s="15"/>
      <c r="F181" s="14"/>
      <c r="G181" s="58"/>
      <c r="H181" s="38"/>
      <c r="I181" s="38"/>
      <c r="J181" s="84"/>
      <c r="K181" s="87"/>
      <c r="L181" s="85">
        <f t="shared" si="3"/>
        <v>0</v>
      </c>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row>
    <row r="182" spans="1:176" ht="54" x14ac:dyDescent="0.2">
      <c r="A182" s="120" t="s">
        <v>154</v>
      </c>
      <c r="B182" s="120"/>
      <c r="C182" s="2" t="s">
        <v>574</v>
      </c>
      <c r="D182" s="2" t="s">
        <v>575</v>
      </c>
      <c r="E182" s="2" t="s">
        <v>104</v>
      </c>
      <c r="F182" s="2" t="s">
        <v>17</v>
      </c>
      <c r="G182" s="2" t="s">
        <v>18</v>
      </c>
      <c r="H182" s="2" t="s">
        <v>353</v>
      </c>
      <c r="I182" s="2" t="s">
        <v>380</v>
      </c>
      <c r="J182" s="108" t="s">
        <v>628</v>
      </c>
      <c r="K182" s="109"/>
      <c r="L182" s="83">
        <f>SUM(L183:L207)</f>
        <v>0</v>
      </c>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row>
    <row r="183" spans="1:176" ht="42.75" x14ac:dyDescent="0.2">
      <c r="A183" s="22" t="s">
        <v>49</v>
      </c>
      <c r="B183" s="20" t="s">
        <v>537</v>
      </c>
      <c r="C183" s="15"/>
      <c r="D183" s="15"/>
      <c r="E183" s="15"/>
      <c r="F183" s="13"/>
      <c r="G183" s="58" t="str">
        <f>IF(C183="","",IF(C183="Yes","Please state the algorithm/method used to achieve encryption in transit.","Please describe plans to encrypt data-in-transit."))</f>
        <v/>
      </c>
      <c r="H183" s="38">
        <v>18</v>
      </c>
      <c r="I183" s="38" t="s">
        <v>446</v>
      </c>
      <c r="J183" s="84"/>
      <c r="K183" s="87"/>
      <c r="L183" s="85">
        <f t="shared" si="3"/>
        <v>0</v>
      </c>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row>
    <row r="184" spans="1:176" ht="57" x14ac:dyDescent="0.2">
      <c r="A184" s="22" t="s">
        <v>215</v>
      </c>
      <c r="B184" s="20" t="s">
        <v>538</v>
      </c>
      <c r="C184" s="15"/>
      <c r="D184" s="15"/>
      <c r="E184" s="15"/>
      <c r="F184" s="13"/>
      <c r="G184" s="58"/>
      <c r="H184" s="38">
        <v>44</v>
      </c>
      <c r="I184" s="38" t="s">
        <v>447</v>
      </c>
      <c r="J184" s="84"/>
      <c r="K184" s="87"/>
      <c r="L184" s="85">
        <f t="shared" si="3"/>
        <v>0</v>
      </c>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row>
    <row r="185" spans="1:176" ht="64.349999999999994" customHeight="1" x14ac:dyDescent="0.2">
      <c r="A185" s="22" t="s">
        <v>50</v>
      </c>
      <c r="B185" s="20" t="s">
        <v>493</v>
      </c>
      <c r="C185" s="15"/>
      <c r="D185" s="15"/>
      <c r="E185" s="15"/>
      <c r="F185" s="13"/>
      <c r="G185" s="58" t="str">
        <f>IF(C185="","",IF(C185="Yes","Please state the algorithm/method used to achieve encryption in transit.","Please describe plans to encrypt data-in-transit."))</f>
        <v/>
      </c>
      <c r="H185" s="38">
        <v>42</v>
      </c>
      <c r="I185" s="38" t="s">
        <v>448</v>
      </c>
      <c r="J185" s="84"/>
      <c r="K185" s="87"/>
      <c r="L185" s="85">
        <f t="shared" si="3"/>
        <v>0</v>
      </c>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row>
    <row r="186" spans="1:176" ht="64.349999999999994" customHeight="1" x14ac:dyDescent="0.2">
      <c r="A186" s="22" t="s">
        <v>51</v>
      </c>
      <c r="B186" s="20" t="s">
        <v>539</v>
      </c>
      <c r="C186" s="15"/>
      <c r="D186" s="15"/>
      <c r="E186" s="15"/>
      <c r="F186" s="13"/>
      <c r="G186" s="58" t="str">
        <f>IF(C186="","",IF(C186="Yes","Please state the algorithm/method used to achieve encryption at rest.","Please describe plans to encrypt data-at-rest."))</f>
        <v/>
      </c>
      <c r="H186" s="38"/>
      <c r="I186" s="38" t="s">
        <v>449</v>
      </c>
      <c r="J186" s="84"/>
      <c r="K186" s="87"/>
      <c r="L186" s="85">
        <f t="shared" si="3"/>
        <v>0</v>
      </c>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row>
    <row r="187" spans="1:176" ht="64.349999999999994" customHeight="1" x14ac:dyDescent="0.2">
      <c r="A187" s="22" t="s">
        <v>52</v>
      </c>
      <c r="B187" s="20" t="s">
        <v>65</v>
      </c>
      <c r="C187" s="15"/>
      <c r="D187" s="15"/>
      <c r="E187" s="15"/>
      <c r="F187" s="13"/>
      <c r="G187" s="58"/>
      <c r="H187" s="38"/>
      <c r="I187" s="38"/>
      <c r="J187" s="84"/>
      <c r="K187" s="87"/>
      <c r="L187" s="85">
        <f t="shared" si="3"/>
        <v>0</v>
      </c>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row>
    <row r="188" spans="1:176" ht="64.349999999999994" customHeight="1" x14ac:dyDescent="0.2">
      <c r="A188" s="22" t="s">
        <v>53</v>
      </c>
      <c r="B188" s="20" t="s">
        <v>540</v>
      </c>
      <c r="C188" s="15"/>
      <c r="D188" s="15"/>
      <c r="E188" s="15"/>
      <c r="F188" s="26"/>
      <c r="G188" s="58"/>
      <c r="H188" s="38"/>
      <c r="I188" s="38" t="s">
        <v>450</v>
      </c>
      <c r="J188" s="84"/>
      <c r="K188" s="87"/>
      <c r="L188" s="85">
        <f t="shared" si="3"/>
        <v>0</v>
      </c>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row>
    <row r="189" spans="1:176" ht="64.349999999999994" customHeight="1" x14ac:dyDescent="0.2">
      <c r="A189" s="22" t="s">
        <v>54</v>
      </c>
      <c r="B189" s="20" t="s">
        <v>347</v>
      </c>
      <c r="C189" s="15"/>
      <c r="D189" s="15"/>
      <c r="E189" s="15"/>
      <c r="F189" s="26"/>
      <c r="G189" s="58" t="str">
        <f>IF(C189="","",IF(C189="Yes","Please describe or provide a reference to this program.",""))</f>
        <v/>
      </c>
      <c r="H189" s="38">
        <v>38</v>
      </c>
      <c r="I189" s="38" t="s">
        <v>451</v>
      </c>
      <c r="J189" s="84"/>
      <c r="K189" s="87"/>
      <c r="L189" s="85">
        <f t="shared" si="3"/>
        <v>0</v>
      </c>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row>
    <row r="190" spans="1:176" ht="64.349999999999994" customHeight="1" x14ac:dyDescent="0.2">
      <c r="A190" s="22" t="s">
        <v>55</v>
      </c>
      <c r="B190" s="20" t="s">
        <v>494</v>
      </c>
      <c r="C190" s="15"/>
      <c r="D190" s="15"/>
      <c r="E190" s="15"/>
      <c r="F190" s="26"/>
      <c r="G190" s="58" t="str">
        <f>IF(C190="","",IF(C190="Yes","","Please identify technologies that are not covered by your program, and how data is secured as it pertains to these technologies."))</f>
        <v/>
      </c>
      <c r="H190" s="38">
        <v>41</v>
      </c>
      <c r="I190" s="38" t="s">
        <v>452</v>
      </c>
      <c r="J190" s="84"/>
      <c r="K190" s="87"/>
      <c r="L190" s="85">
        <f t="shared" si="3"/>
        <v>0</v>
      </c>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row>
    <row r="191" spans="1:176" ht="64.349999999999994" customHeight="1" x14ac:dyDescent="0.2">
      <c r="A191" s="22" t="s">
        <v>56</v>
      </c>
      <c r="B191" s="20" t="s">
        <v>615</v>
      </c>
      <c r="C191" s="15"/>
      <c r="D191" s="15"/>
      <c r="E191" s="15"/>
      <c r="F191" s="26"/>
      <c r="G191" s="58"/>
      <c r="H191" s="38">
        <v>43</v>
      </c>
      <c r="I191" s="38" t="s">
        <v>453</v>
      </c>
      <c r="J191" s="84"/>
      <c r="K191" s="87"/>
      <c r="L191" s="85">
        <f t="shared" si="3"/>
        <v>0</v>
      </c>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row>
    <row r="192" spans="1:176" ht="64.349999999999994" customHeight="1" x14ac:dyDescent="0.2">
      <c r="A192" s="22" t="s">
        <v>57</v>
      </c>
      <c r="B192" s="20" t="s">
        <v>309</v>
      </c>
      <c r="C192" s="15"/>
      <c r="D192" s="15"/>
      <c r="E192" s="15"/>
      <c r="F192" s="26"/>
      <c r="G192" s="58" t="str">
        <f>IF(C192="","",IF(C192="Yes","Please describe your data loss prevention program and platforms supported.","State any plans to implement data loss prevention capabilities."))</f>
        <v/>
      </c>
      <c r="H192" s="38">
        <v>45</v>
      </c>
      <c r="I192" s="38" t="s">
        <v>454</v>
      </c>
      <c r="J192" s="84"/>
      <c r="K192" s="87"/>
      <c r="L192" s="85">
        <f t="shared" si="3"/>
        <v>0</v>
      </c>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row>
    <row r="193" spans="1:176" ht="64.349999999999994" customHeight="1" x14ac:dyDescent="0.2">
      <c r="A193" s="22" t="s">
        <v>216</v>
      </c>
      <c r="B193" s="20" t="s">
        <v>315</v>
      </c>
      <c r="C193" s="15"/>
      <c r="D193" s="15"/>
      <c r="E193" s="15"/>
      <c r="F193" s="26"/>
      <c r="G193" s="58" t="str">
        <f>IF(C193="","",IF(C193="Yes","Please describe the process(es) and/or control(s).",""))</f>
        <v/>
      </c>
      <c r="H193" s="38">
        <v>52</v>
      </c>
      <c r="I193" s="38" t="s">
        <v>455</v>
      </c>
      <c r="J193" s="84"/>
      <c r="K193" s="87"/>
      <c r="L193" s="85">
        <f t="shared" si="3"/>
        <v>0</v>
      </c>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row>
    <row r="194" spans="1:176" ht="48" customHeight="1" x14ac:dyDescent="0.2">
      <c r="A194" s="22" t="s">
        <v>217</v>
      </c>
      <c r="B194" s="20" t="s">
        <v>483</v>
      </c>
      <c r="C194" s="15"/>
      <c r="D194" s="15"/>
      <c r="E194" s="15"/>
      <c r="F194" s="21"/>
      <c r="G194" s="58" t="str">
        <f>IF(C194="","",IF(C194="Yes","Describe the on-site staff capabilities.","State any plans to staff data centers 24x7x365."))</f>
        <v/>
      </c>
      <c r="H194" s="38"/>
      <c r="I194" s="38"/>
      <c r="J194" s="84"/>
      <c r="K194" s="87"/>
      <c r="L194" s="85">
        <f t="shared" si="3"/>
        <v>0</v>
      </c>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row>
    <row r="195" spans="1:176" ht="64.349999999999994" customHeight="1" x14ac:dyDescent="0.2">
      <c r="A195" s="22" t="s">
        <v>58</v>
      </c>
      <c r="B195" s="20" t="s">
        <v>121</v>
      </c>
      <c r="C195" s="15"/>
      <c r="D195" s="15"/>
      <c r="E195" s="15"/>
      <c r="F195" s="26"/>
      <c r="G195" s="58" t="str">
        <f>IF(C195="","",IF(C195="Yes","Please describe why logical segregation of data is not implemented/possible in your environment.","Please describe how data is segregated."))</f>
        <v/>
      </c>
      <c r="H195" s="38"/>
      <c r="I195" s="38"/>
      <c r="J195" s="84"/>
      <c r="K195" s="87"/>
      <c r="L195" s="85">
        <f t="shared" si="3"/>
        <v>0</v>
      </c>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row>
    <row r="196" spans="1:176" ht="64.349999999999994" customHeight="1" x14ac:dyDescent="0.2">
      <c r="A196" s="22" t="s">
        <v>60</v>
      </c>
      <c r="B196" s="20" t="s">
        <v>541</v>
      </c>
      <c r="C196" s="15"/>
      <c r="D196" s="15"/>
      <c r="E196" s="15"/>
      <c r="F196" s="26"/>
      <c r="G196" s="58"/>
      <c r="H196" s="38"/>
      <c r="I196" s="38"/>
      <c r="J196" s="84"/>
      <c r="K196" s="87"/>
      <c r="L196" s="85">
        <f t="shared" si="3"/>
        <v>0</v>
      </c>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row>
    <row r="197" spans="1:176" ht="64.349999999999994" customHeight="1" x14ac:dyDescent="0.2">
      <c r="A197" s="22" t="s">
        <v>61</v>
      </c>
      <c r="B197" s="20" t="s">
        <v>134</v>
      </c>
      <c r="C197" s="15"/>
      <c r="D197" s="15"/>
      <c r="E197" s="15"/>
      <c r="F197" s="26"/>
      <c r="G197" s="58" t="str">
        <f>IF(C197="","",IF(C197="Yes","Please state the algorithm/method used to achieve encryption of databases.","Please describe plans to emcrypt databases."))</f>
        <v/>
      </c>
      <c r="H197" s="38"/>
      <c r="I197" s="38"/>
      <c r="J197" s="84"/>
      <c r="K197" s="87"/>
      <c r="L197" s="85">
        <f t="shared" si="3"/>
        <v>0</v>
      </c>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row>
    <row r="198" spans="1:176" ht="64.349999999999994" customHeight="1" x14ac:dyDescent="0.2">
      <c r="A198" s="22" t="s">
        <v>63</v>
      </c>
      <c r="B198" s="20" t="s">
        <v>623</v>
      </c>
      <c r="C198" s="15"/>
      <c r="D198" s="15"/>
      <c r="E198" s="15"/>
      <c r="F198" s="26"/>
      <c r="G198" s="58" t="str">
        <f>IF(C198="","",IF(C198="Yes","Please state the algorithm/method used to encrypt unstructured data.","Please describe plans to implement the encryption of unstructured data."))</f>
        <v/>
      </c>
      <c r="H198" s="38"/>
      <c r="I198" s="38"/>
      <c r="J198" s="84"/>
      <c r="K198" s="87"/>
      <c r="L198" s="85">
        <f t="shared" si="3"/>
        <v>0</v>
      </c>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row>
    <row r="199" spans="1:176" ht="64.349999999999994" customHeight="1" x14ac:dyDescent="0.2">
      <c r="A199" s="22" t="s">
        <v>218</v>
      </c>
      <c r="B199" s="20" t="s">
        <v>142</v>
      </c>
      <c r="C199" s="15"/>
      <c r="D199" s="15"/>
      <c r="E199" s="15"/>
      <c r="F199" s="26"/>
      <c r="G199" s="58" t="str">
        <f>IF(C199="","",IF(C199="Yes","Please describe how workstations and mobile devices are encrypted.","Describe plans to encrypt workstations and/or mobile devices."))</f>
        <v/>
      </c>
      <c r="H199" s="38"/>
      <c r="I199" s="38"/>
      <c r="J199" s="84"/>
      <c r="K199" s="87"/>
      <c r="L199" s="85">
        <f t="shared" si="3"/>
        <v>0</v>
      </c>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row>
    <row r="200" spans="1:176" ht="64.349999999999994" customHeight="1" x14ac:dyDescent="0.2">
      <c r="A200" s="22" t="s">
        <v>306</v>
      </c>
      <c r="B200" s="20" t="s">
        <v>124</v>
      </c>
      <c r="C200" s="15"/>
      <c r="D200" s="15"/>
      <c r="E200" s="15"/>
      <c r="F200" s="26"/>
      <c r="G200" s="58"/>
      <c r="H200" s="38"/>
      <c r="I200" s="38"/>
      <c r="J200" s="84"/>
      <c r="K200" s="87"/>
      <c r="L200" s="85">
        <f t="shared" si="3"/>
        <v>0</v>
      </c>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row>
    <row r="201" spans="1:176" ht="64.349999999999994" customHeight="1" x14ac:dyDescent="0.2">
      <c r="A201" s="22" t="s">
        <v>307</v>
      </c>
      <c r="B201" s="20" t="s">
        <v>659</v>
      </c>
      <c r="C201" s="15"/>
      <c r="D201" s="15"/>
      <c r="E201" s="15"/>
      <c r="F201" s="26"/>
      <c r="G201" s="58" t="str">
        <f>IF(C201="","",IF(C201="Yes","Please state the algorithm/method used to achieve encrypt data over TCP/IP.","Please describe plans to encrypt data over TCP/IP."))</f>
        <v/>
      </c>
      <c r="H201" s="38"/>
      <c r="I201" s="38" t="s">
        <v>449</v>
      </c>
      <c r="J201" s="84"/>
      <c r="K201" s="87"/>
      <c r="L201" s="85">
        <f t="shared" si="3"/>
        <v>0</v>
      </c>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row>
    <row r="202" spans="1:176" ht="64.349999999999994" customHeight="1" x14ac:dyDescent="0.2">
      <c r="A202" s="22" t="s">
        <v>308</v>
      </c>
      <c r="B202" s="20" t="s">
        <v>542</v>
      </c>
      <c r="C202" s="53"/>
      <c r="D202" s="53"/>
      <c r="E202" s="53"/>
      <c r="F202" s="13"/>
      <c r="G202" s="58" t="s">
        <v>256</v>
      </c>
      <c r="H202" s="38"/>
      <c r="I202" s="38"/>
      <c r="J202" s="84"/>
      <c r="K202" s="87"/>
      <c r="L202" s="85">
        <f t="shared" si="3"/>
        <v>0</v>
      </c>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row>
    <row r="203" spans="1:176" ht="64.349999999999994" customHeight="1" x14ac:dyDescent="0.2">
      <c r="A203" s="22" t="s">
        <v>314</v>
      </c>
      <c r="B203" s="20" t="s">
        <v>543</v>
      </c>
      <c r="C203" s="53"/>
      <c r="D203" s="53"/>
      <c r="E203" s="53"/>
      <c r="F203" s="13"/>
      <c r="G203" s="58" t="str">
        <f>IF(C203="","",IF(C203="Yes","Please list all cloud providers that will host Utility data.",""))</f>
        <v/>
      </c>
      <c r="H203" s="38"/>
      <c r="I203" s="38"/>
      <c r="J203" s="84"/>
      <c r="K203" s="87"/>
      <c r="L203" s="85">
        <f t="shared" si="3"/>
        <v>0</v>
      </c>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row>
    <row r="204" spans="1:176" ht="64.349999999999994" customHeight="1" x14ac:dyDescent="0.2">
      <c r="A204" s="22" t="s">
        <v>342</v>
      </c>
      <c r="B204" s="20" t="s">
        <v>59</v>
      </c>
      <c r="C204" s="53"/>
      <c r="D204" s="53"/>
      <c r="E204" s="53"/>
      <c r="F204" s="13"/>
      <c r="G204" s="58"/>
      <c r="H204" s="38"/>
      <c r="I204" s="38"/>
      <c r="J204" s="84"/>
      <c r="K204" s="87"/>
      <c r="L204" s="85">
        <f t="shared" si="3"/>
        <v>0</v>
      </c>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row>
    <row r="205" spans="1:176" ht="64.349999999999994" customHeight="1" x14ac:dyDescent="0.2">
      <c r="A205" s="22" t="s">
        <v>363</v>
      </c>
      <c r="B205" s="20" t="s">
        <v>64</v>
      </c>
      <c r="C205" s="15"/>
      <c r="D205" s="15"/>
      <c r="E205" s="15"/>
      <c r="F205" s="13"/>
      <c r="G205" s="58" t="str">
        <f>IF(C205="","",IF(C205="Yes","Please specify the algorithm used to encrypt data backups.","State any plans to encrypt data backups."))</f>
        <v/>
      </c>
      <c r="H205" s="38"/>
      <c r="I205" s="38"/>
      <c r="J205" s="84"/>
      <c r="K205" s="87"/>
      <c r="L205" s="85">
        <f t="shared" si="3"/>
        <v>0</v>
      </c>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row>
    <row r="206" spans="1:176" ht="64.349999999999994" customHeight="1" x14ac:dyDescent="0.2">
      <c r="A206" s="22" t="s">
        <v>364</v>
      </c>
      <c r="B206" s="20" t="s">
        <v>544</v>
      </c>
      <c r="C206" s="15"/>
      <c r="D206" s="15"/>
      <c r="E206" s="15"/>
      <c r="F206" s="13"/>
      <c r="G206" s="58"/>
      <c r="H206" s="38"/>
      <c r="I206" s="38"/>
      <c r="J206" s="84"/>
      <c r="K206" s="87"/>
      <c r="L206" s="85">
        <f t="shared" si="3"/>
        <v>0</v>
      </c>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row>
    <row r="207" spans="1:176" ht="64.349999999999994" customHeight="1" x14ac:dyDescent="0.2">
      <c r="A207" s="22" t="s">
        <v>597</v>
      </c>
      <c r="B207" s="20" t="s">
        <v>660</v>
      </c>
      <c r="C207" s="15"/>
      <c r="D207" s="15"/>
      <c r="E207" s="15"/>
      <c r="F207" s="13"/>
      <c r="G207" s="69"/>
      <c r="H207" s="38"/>
      <c r="I207" s="38" t="s">
        <v>598</v>
      </c>
      <c r="J207" s="84"/>
      <c r="K207" s="87"/>
      <c r="L207" s="85">
        <f t="shared" ref="L207:L258" si="4">J207*K207</f>
        <v>0</v>
      </c>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row>
    <row r="208" spans="1:176" ht="64.349999999999994" customHeight="1" x14ac:dyDescent="0.2">
      <c r="A208" s="120" t="s">
        <v>155</v>
      </c>
      <c r="B208" s="120"/>
      <c r="C208" s="2" t="s">
        <v>574</v>
      </c>
      <c r="D208" s="2" t="s">
        <v>575</v>
      </c>
      <c r="E208" s="2" t="s">
        <v>104</v>
      </c>
      <c r="F208" s="2" t="s">
        <v>17</v>
      </c>
      <c r="G208" s="2" t="s">
        <v>18</v>
      </c>
      <c r="H208" s="2" t="s">
        <v>353</v>
      </c>
      <c r="I208" s="2" t="s">
        <v>380</v>
      </c>
      <c r="J208" s="108" t="s">
        <v>628</v>
      </c>
      <c r="K208" s="109"/>
      <c r="L208" s="83">
        <f>SUM(L209:L220)</f>
        <v>0</v>
      </c>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row>
    <row r="209" spans="1:176" ht="64.349999999999994" customHeight="1" x14ac:dyDescent="0.2">
      <c r="A209" s="8" t="s">
        <v>219</v>
      </c>
      <c r="B209" s="20" t="s">
        <v>661</v>
      </c>
      <c r="C209" s="15"/>
      <c r="D209" s="15"/>
      <c r="E209" s="15"/>
      <c r="F209" s="13"/>
      <c r="G209" s="58" t="str">
        <f>IF(C209="","",IF(C209="Yes","Please describe your Cyber Security Incident response process, including when notification would be made to purchaser.","State plans to develop and implement a Cyber Ssecurity Incident response process."))</f>
        <v/>
      </c>
      <c r="H209" s="38">
        <v>25</v>
      </c>
      <c r="I209" s="38" t="s">
        <v>456</v>
      </c>
      <c r="J209" s="84"/>
      <c r="K209" s="87"/>
      <c r="L209" s="85">
        <f t="shared" si="4"/>
        <v>0</v>
      </c>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row>
    <row r="210" spans="1:176" ht="64.349999999999994" customHeight="1" x14ac:dyDescent="0.2">
      <c r="A210" s="8" t="s">
        <v>220</v>
      </c>
      <c r="B210" s="20" t="s">
        <v>662</v>
      </c>
      <c r="C210" s="15"/>
      <c r="D210" s="15"/>
      <c r="E210" s="15"/>
      <c r="F210" s="13"/>
      <c r="G210" s="58"/>
      <c r="H210" s="38">
        <v>28</v>
      </c>
      <c r="I210" s="38" t="s">
        <v>457</v>
      </c>
      <c r="J210" s="84"/>
      <c r="K210" s="87"/>
      <c r="L210" s="85">
        <f t="shared" si="4"/>
        <v>0</v>
      </c>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row>
    <row r="211" spans="1:176" ht="106.5" customHeight="1" x14ac:dyDescent="0.2">
      <c r="A211" s="8" t="s">
        <v>221</v>
      </c>
      <c r="B211" s="20" t="s">
        <v>616</v>
      </c>
      <c r="C211" s="15"/>
      <c r="D211" s="15"/>
      <c r="E211" s="15"/>
      <c r="F211" s="13"/>
      <c r="G211" s="58" t="s">
        <v>357</v>
      </c>
      <c r="H211" s="38">
        <v>36</v>
      </c>
      <c r="I211" s="38" t="s">
        <v>458</v>
      </c>
      <c r="J211" s="84"/>
      <c r="K211" s="87"/>
      <c r="L211" s="85">
        <f t="shared" si="4"/>
        <v>0</v>
      </c>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row>
    <row r="212" spans="1:176" ht="64.349999999999994" customHeight="1" x14ac:dyDescent="0.2">
      <c r="A212" s="8" t="s">
        <v>299</v>
      </c>
      <c r="B212" s="20" t="s">
        <v>663</v>
      </c>
      <c r="C212" s="15"/>
      <c r="D212" s="15"/>
      <c r="E212" s="15"/>
      <c r="F212" s="13"/>
      <c r="G212" s="58"/>
      <c r="H212" s="38" t="s">
        <v>459</v>
      </c>
      <c r="I212" s="38" t="s">
        <v>460</v>
      </c>
      <c r="J212" s="84"/>
      <c r="K212" s="87"/>
      <c r="L212" s="85">
        <f t="shared" si="4"/>
        <v>0</v>
      </c>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row>
    <row r="213" spans="1:176" ht="72" customHeight="1" x14ac:dyDescent="0.2">
      <c r="A213" s="8" t="s">
        <v>297</v>
      </c>
      <c r="B213" s="20" t="s">
        <v>617</v>
      </c>
      <c r="C213" s="15"/>
      <c r="D213" s="15"/>
      <c r="E213" s="15"/>
      <c r="F213" s="27"/>
      <c r="G213" s="58" t="str">
        <f>IF(C213="","",IF(C213="Yes","Please describe this process.","State plans to develop and implement such a process."))</f>
        <v/>
      </c>
      <c r="H213" s="38"/>
      <c r="I213" s="38" t="s">
        <v>461</v>
      </c>
      <c r="J213" s="84"/>
      <c r="K213" s="87"/>
      <c r="L213" s="85">
        <f t="shared" si="4"/>
        <v>0</v>
      </c>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row>
    <row r="214" spans="1:176" ht="64.349999999999994" customHeight="1" x14ac:dyDescent="0.2">
      <c r="A214" s="8" t="s">
        <v>298</v>
      </c>
      <c r="B214" s="20" t="s">
        <v>348</v>
      </c>
      <c r="C214" s="15"/>
      <c r="D214" s="15"/>
      <c r="E214" s="15"/>
      <c r="F214" s="27"/>
      <c r="G214" s="58" t="s">
        <v>462</v>
      </c>
      <c r="H214" s="38">
        <v>33</v>
      </c>
      <c r="I214" s="38" t="s">
        <v>463</v>
      </c>
      <c r="J214" s="84"/>
      <c r="K214" s="87"/>
      <c r="L214" s="85">
        <f t="shared" si="4"/>
        <v>0</v>
      </c>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row>
    <row r="215" spans="1:176" ht="64.349999999999994" customHeight="1" x14ac:dyDescent="0.2">
      <c r="A215" s="8" t="s">
        <v>300</v>
      </c>
      <c r="B215" s="20" t="s">
        <v>664</v>
      </c>
      <c r="C215" s="15"/>
      <c r="D215" s="15"/>
      <c r="E215" s="15"/>
      <c r="F215" s="27"/>
      <c r="G215" s="58" t="s">
        <v>464</v>
      </c>
      <c r="H215" s="38">
        <v>26</v>
      </c>
      <c r="I215" s="38" t="s">
        <v>465</v>
      </c>
      <c r="J215" s="84"/>
      <c r="K215" s="87"/>
      <c r="L215" s="85">
        <f t="shared" si="4"/>
        <v>0</v>
      </c>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row>
    <row r="216" spans="1:176" ht="64.349999999999994" customHeight="1" x14ac:dyDescent="0.2">
      <c r="A216" s="8" t="s">
        <v>301</v>
      </c>
      <c r="B216" s="20" t="s">
        <v>665</v>
      </c>
      <c r="C216" s="15"/>
      <c r="D216" s="15"/>
      <c r="E216" s="15"/>
      <c r="F216" s="27"/>
      <c r="G216" s="58"/>
      <c r="H216" s="38">
        <v>32</v>
      </c>
      <c r="I216" s="38" t="s">
        <v>466</v>
      </c>
      <c r="J216" s="84"/>
      <c r="K216" s="87"/>
      <c r="L216" s="85">
        <f t="shared" si="4"/>
        <v>0</v>
      </c>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row>
    <row r="217" spans="1:176" ht="64.349999999999994" customHeight="1" x14ac:dyDescent="0.2">
      <c r="A217" s="8" t="s">
        <v>302</v>
      </c>
      <c r="B217" s="20" t="s">
        <v>666</v>
      </c>
      <c r="C217" s="15"/>
      <c r="D217" s="15"/>
      <c r="E217" s="15"/>
      <c r="F217" s="27"/>
      <c r="G217" s="58"/>
      <c r="H217" s="38">
        <v>27</v>
      </c>
      <c r="I217" s="38" t="s">
        <v>467</v>
      </c>
      <c r="J217" s="84"/>
      <c r="K217" s="87"/>
      <c r="L217" s="85">
        <f t="shared" si="4"/>
        <v>0</v>
      </c>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row>
    <row r="218" spans="1:176" ht="64.349999999999994" customHeight="1" x14ac:dyDescent="0.2">
      <c r="A218" s="8" t="s">
        <v>365</v>
      </c>
      <c r="B218" s="20" t="s">
        <v>667</v>
      </c>
      <c r="C218" s="15"/>
      <c r="D218" s="15"/>
      <c r="E218" s="15"/>
      <c r="F218" s="27"/>
      <c r="G218" s="58"/>
      <c r="H218" s="38">
        <v>29</v>
      </c>
      <c r="I218" s="38" t="s">
        <v>468</v>
      </c>
      <c r="J218" s="84"/>
      <c r="K218" s="87"/>
      <c r="L218" s="85">
        <f t="shared" si="4"/>
        <v>0</v>
      </c>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row>
    <row r="219" spans="1:176" s="63" customFormat="1" ht="64.349999999999994" customHeight="1" x14ac:dyDescent="0.2">
      <c r="A219" s="22" t="s">
        <v>366</v>
      </c>
      <c r="B219" s="20" t="s">
        <v>596</v>
      </c>
      <c r="C219" s="15"/>
      <c r="D219" s="15"/>
      <c r="E219" s="15"/>
      <c r="F219" s="13"/>
      <c r="G219" s="20" t="str">
        <f>IF(C219="","",IF(C219="Yes","What type of system do you use (network-based, host-based, etc.)?","State plans to implement an intrustion detection/prevention system."))</f>
        <v/>
      </c>
      <c r="H219" s="38"/>
      <c r="I219" s="38"/>
      <c r="J219" s="84"/>
      <c r="K219" s="87"/>
      <c r="L219" s="85">
        <f t="shared" si="4"/>
        <v>0</v>
      </c>
    </row>
    <row r="220" spans="1:176" ht="64.349999999999994" customHeight="1" x14ac:dyDescent="0.2">
      <c r="A220" s="8" t="s">
        <v>367</v>
      </c>
      <c r="B220" s="3" t="s">
        <v>156</v>
      </c>
      <c r="C220" s="15"/>
      <c r="D220" s="15"/>
      <c r="E220" s="15"/>
      <c r="F220" s="13"/>
      <c r="G220" s="58"/>
      <c r="H220" s="38"/>
      <c r="I220" s="38"/>
      <c r="J220" s="84"/>
      <c r="K220" s="87"/>
      <c r="L220" s="85">
        <f t="shared" si="4"/>
        <v>0</v>
      </c>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row>
    <row r="221" spans="1:176" ht="54" x14ac:dyDescent="0.2">
      <c r="A221" s="120" t="s">
        <v>157</v>
      </c>
      <c r="B221" s="120"/>
      <c r="C221" s="2" t="s">
        <v>574</v>
      </c>
      <c r="D221" s="2" t="s">
        <v>575</v>
      </c>
      <c r="E221" s="2" t="s">
        <v>104</v>
      </c>
      <c r="F221" s="2" t="s">
        <v>17</v>
      </c>
      <c r="G221" s="2" t="s">
        <v>18</v>
      </c>
      <c r="H221" s="2" t="s">
        <v>353</v>
      </c>
      <c r="I221" s="2" t="s">
        <v>380</v>
      </c>
      <c r="J221" s="108" t="s">
        <v>628</v>
      </c>
      <c r="K221" s="109"/>
      <c r="L221" s="83">
        <f>SUM(L222:L231)</f>
        <v>0</v>
      </c>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row>
    <row r="222" spans="1:176" ht="48" customHeight="1" x14ac:dyDescent="0.2">
      <c r="A222" s="8" t="s">
        <v>222</v>
      </c>
      <c r="B222" s="3" t="s">
        <v>545</v>
      </c>
      <c r="C222" s="15"/>
      <c r="D222" s="15"/>
      <c r="E222" s="15"/>
      <c r="F222" s="13"/>
      <c r="G222" s="58" t="s">
        <v>158</v>
      </c>
      <c r="H222" s="39"/>
      <c r="I222" s="39"/>
      <c r="J222" s="84"/>
      <c r="K222" s="87"/>
      <c r="L222" s="85">
        <f t="shared" si="4"/>
        <v>0</v>
      </c>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row>
    <row r="223" spans="1:176" ht="64.5" customHeight="1" x14ac:dyDescent="0.2">
      <c r="A223" s="8" t="s">
        <v>223</v>
      </c>
      <c r="B223" s="3" t="s">
        <v>75</v>
      </c>
      <c r="C223" s="53"/>
      <c r="D223" s="53"/>
      <c r="E223" s="53"/>
      <c r="F223" s="13"/>
      <c r="G223" s="58" t="s">
        <v>582</v>
      </c>
      <c r="H223" s="39"/>
      <c r="I223" s="39"/>
      <c r="J223" s="84"/>
      <c r="K223" s="87"/>
      <c r="L223" s="85">
        <f t="shared" si="4"/>
        <v>0</v>
      </c>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row>
    <row r="224" spans="1:176" ht="48" customHeight="1" x14ac:dyDescent="0.2">
      <c r="A224" s="8" t="s">
        <v>224</v>
      </c>
      <c r="B224" s="3" t="s">
        <v>102</v>
      </c>
      <c r="C224" s="15"/>
      <c r="D224" s="15"/>
      <c r="E224" s="15"/>
      <c r="F224" s="14"/>
      <c r="G224" s="58" t="str">
        <f>IF(C224="","",IF(C224="Yes","State the application title as listed within the trusted source.","Decribe how the application is distributed. Also, state any plans to publish the app to a trusted source."))</f>
        <v/>
      </c>
      <c r="H224" s="39"/>
      <c r="I224" s="39"/>
      <c r="J224" s="84"/>
      <c r="K224" s="87"/>
      <c r="L224" s="85">
        <f t="shared" si="4"/>
        <v>0</v>
      </c>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row>
    <row r="225" spans="1:176" ht="63.75" customHeight="1" x14ac:dyDescent="0.2">
      <c r="A225" s="8" t="s">
        <v>225</v>
      </c>
      <c r="B225" s="3" t="s">
        <v>159</v>
      </c>
      <c r="C225" s="15"/>
      <c r="D225" s="15"/>
      <c r="E225" s="15"/>
      <c r="F225" s="14"/>
      <c r="G225" s="58" t="str">
        <f>IF(C225="","",IF(C225="Yes","Provide a detailed summary for your response.",""))</f>
        <v/>
      </c>
      <c r="H225" s="39"/>
      <c r="I225" s="39"/>
      <c r="J225" s="84"/>
      <c r="K225" s="87"/>
      <c r="L225" s="85">
        <f t="shared" si="4"/>
        <v>0</v>
      </c>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row>
    <row r="226" spans="1:176" ht="57.75" customHeight="1" x14ac:dyDescent="0.2">
      <c r="A226" s="8" t="s">
        <v>226</v>
      </c>
      <c r="B226" s="3" t="s">
        <v>125</v>
      </c>
      <c r="C226" s="15"/>
      <c r="D226" s="15"/>
      <c r="E226" s="15"/>
      <c r="F226" s="14"/>
      <c r="G226" s="58" t="str">
        <f>IF(C226="","",IF(C226="Yes","Provide a detailed description of what data will be stored and in which location(s), as well as why storing this data in this/these location(s) is necessary.",""))</f>
        <v/>
      </c>
      <c r="H226" s="39"/>
      <c r="I226" s="39"/>
      <c r="J226" s="84"/>
      <c r="K226" s="87"/>
      <c r="L226" s="85">
        <f t="shared" si="4"/>
        <v>0</v>
      </c>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row>
    <row r="227" spans="1:176" ht="48" customHeight="1" x14ac:dyDescent="0.2">
      <c r="A227" s="8" t="s">
        <v>227</v>
      </c>
      <c r="B227" s="3" t="s">
        <v>546</v>
      </c>
      <c r="C227" s="15"/>
      <c r="D227" s="15"/>
      <c r="E227" s="15"/>
      <c r="F227" s="14"/>
      <c r="G227" s="58" t="str">
        <f>IF(C227="","",IF(C227="Yes","Summarize your MDM capabilities.","State any plans to implement a MDM platform in your environment."))</f>
        <v/>
      </c>
      <c r="H227" s="39"/>
      <c r="I227" s="39"/>
      <c r="J227" s="84"/>
      <c r="K227" s="87"/>
      <c r="L227" s="85">
        <f t="shared" si="4"/>
        <v>0</v>
      </c>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row>
    <row r="228" spans="1:176" ht="48" customHeight="1" x14ac:dyDescent="0.2">
      <c r="A228" s="8" t="s">
        <v>228</v>
      </c>
      <c r="B228" s="3" t="s">
        <v>126</v>
      </c>
      <c r="C228" s="15"/>
      <c r="D228" s="15"/>
      <c r="E228" s="15"/>
      <c r="F228" s="14"/>
      <c r="G228" s="58" t="str">
        <f>IF(C228="","",IF(C228="Yes","State any capabilities and plans to detect and prevent the use of jailbroken devices.","Please provide an explanation on how this is enforced."))</f>
        <v/>
      </c>
      <c r="H228" s="39"/>
      <c r="I228" s="39"/>
      <c r="J228" s="84"/>
      <c r="K228" s="87"/>
      <c r="L228" s="85">
        <f t="shared" si="4"/>
        <v>0</v>
      </c>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row>
    <row r="229" spans="1:176" ht="48" customHeight="1" x14ac:dyDescent="0.2">
      <c r="A229" s="8" t="s">
        <v>229</v>
      </c>
      <c r="B229" s="3" t="s">
        <v>547</v>
      </c>
      <c r="C229" s="15"/>
      <c r="D229" s="15"/>
      <c r="E229" s="15"/>
      <c r="F229" s="14"/>
      <c r="G229" s="58" t="str">
        <f>IF(C229="","",IF(C229="Yes","Describe how data is encrypted in transport. (i.e. from system to app)","Summarize why data is not encrypted in transport. (i.e. from system to app)"))</f>
        <v/>
      </c>
      <c r="H229" s="39"/>
      <c r="I229" s="39"/>
      <c r="J229" s="84"/>
      <c r="K229" s="87"/>
      <c r="L229" s="85">
        <f t="shared" si="4"/>
        <v>0</v>
      </c>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row>
    <row r="230" spans="1:176" ht="48" customHeight="1" x14ac:dyDescent="0.2">
      <c r="A230" s="8" t="s">
        <v>230</v>
      </c>
      <c r="B230" s="3" t="s">
        <v>548</v>
      </c>
      <c r="C230" s="15"/>
      <c r="D230" s="15"/>
      <c r="E230" s="15"/>
      <c r="F230" s="14"/>
      <c r="G230" s="58" t="str">
        <f>IF(C230="","",IF(C230="Yes","Describe how data is encrypted in storage (i.e. at-rest within the app).","Summarize why data is not encrypted in storage (i.e. at-rest within the app)"))</f>
        <v/>
      </c>
      <c r="H230" s="39"/>
      <c r="I230" s="39"/>
      <c r="J230" s="84"/>
      <c r="K230" s="87"/>
      <c r="L230" s="85">
        <f t="shared" si="4"/>
        <v>0</v>
      </c>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row>
    <row r="231" spans="1:176" ht="67.5" customHeight="1" x14ac:dyDescent="0.2">
      <c r="A231" s="8" t="s">
        <v>231</v>
      </c>
      <c r="B231" s="3" t="s">
        <v>160</v>
      </c>
      <c r="C231" s="15"/>
      <c r="D231" s="15"/>
      <c r="E231" s="15"/>
      <c r="F231" s="14"/>
      <c r="G231" s="58" t="str">
        <f>IF(C231="","",IF(C231="Yes","Please provide additional information on the methodology used for the vulnerability testing and indicate if the testing was internal or external.","Please state any plans to perform vulnerability testing on the application."))</f>
        <v/>
      </c>
      <c r="H231" s="39"/>
      <c r="I231" s="39"/>
      <c r="J231" s="84"/>
      <c r="K231" s="87"/>
      <c r="L231" s="85">
        <f t="shared" si="4"/>
        <v>0</v>
      </c>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row>
    <row r="232" spans="1:176" ht="64.349999999999994" customHeight="1" x14ac:dyDescent="0.2">
      <c r="A232" s="120" t="s">
        <v>161</v>
      </c>
      <c r="B232" s="120"/>
      <c r="C232" s="2" t="s">
        <v>574</v>
      </c>
      <c r="D232" s="2" t="s">
        <v>575</v>
      </c>
      <c r="E232" s="2" t="s">
        <v>104</v>
      </c>
      <c r="F232" s="2" t="s">
        <v>17</v>
      </c>
      <c r="G232" s="2" t="s">
        <v>18</v>
      </c>
      <c r="H232" s="2" t="s">
        <v>353</v>
      </c>
      <c r="I232" s="2" t="s">
        <v>380</v>
      </c>
      <c r="J232" s="108" t="s">
        <v>628</v>
      </c>
      <c r="K232" s="109"/>
      <c r="L232" s="83">
        <f>SUM(L233:L258)</f>
        <v>0</v>
      </c>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row>
    <row r="233" spans="1:176" ht="64.349999999999994" customHeight="1" x14ac:dyDescent="0.2">
      <c r="A233" s="8" t="s">
        <v>232</v>
      </c>
      <c r="B233" s="3" t="s">
        <v>76</v>
      </c>
      <c r="C233" s="15"/>
      <c r="D233" s="15"/>
      <c r="E233" s="15"/>
      <c r="F233" s="14"/>
      <c r="G233" s="59" t="str">
        <f>IF(C233="","",IF(C233="Yes","Provide a copy of your physical security controls and policies along with this document (link or attached).","Describe your intent to implement physical security controls and policies."))</f>
        <v/>
      </c>
      <c r="H233" s="38"/>
      <c r="I233" s="38"/>
      <c r="J233" s="84"/>
      <c r="K233" s="87"/>
      <c r="L233" s="85">
        <f t="shared" si="4"/>
        <v>0</v>
      </c>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row>
    <row r="234" spans="1:176" ht="64.349999999999994" customHeight="1" x14ac:dyDescent="0.2">
      <c r="A234" s="8" t="s">
        <v>233</v>
      </c>
      <c r="B234" s="20" t="s">
        <v>127</v>
      </c>
      <c r="C234" s="15"/>
      <c r="D234" s="15"/>
      <c r="E234" s="15"/>
      <c r="F234" s="21"/>
      <c r="G234" s="58" t="str">
        <f>IF(C234="","",IF(C234="Yes","List open source code or freeware/shareware utilized, including frameworks. Describe how you verify integrity and maintain this code, including monitoring for vulnerabilities and deploying patches.",""))</f>
        <v/>
      </c>
      <c r="H234" s="38"/>
      <c r="I234" s="38"/>
      <c r="J234" s="84"/>
      <c r="K234" s="87"/>
      <c r="L234" s="85">
        <f t="shared" si="4"/>
        <v>0</v>
      </c>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row>
    <row r="235" spans="1:176" ht="64.349999999999994" customHeight="1" x14ac:dyDescent="0.2">
      <c r="A235" s="8" t="s">
        <v>234</v>
      </c>
      <c r="B235" s="20" t="s">
        <v>275</v>
      </c>
      <c r="C235" s="15"/>
      <c r="D235" s="15"/>
      <c r="E235" s="15"/>
      <c r="F235" s="21"/>
      <c r="G235" s="58" t="str">
        <f>IF(C235="","",IF(C235="Yes","Please describe in appropriate detail.","Please describe how you ensure security of products during electronic transport."))</f>
        <v/>
      </c>
      <c r="H235" s="38">
        <v>60</v>
      </c>
      <c r="I235" s="38" t="s">
        <v>469</v>
      </c>
      <c r="J235" s="84"/>
      <c r="K235" s="87"/>
      <c r="L235" s="85">
        <f t="shared" si="4"/>
        <v>0</v>
      </c>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row>
    <row r="236" spans="1:176" ht="64.349999999999994" customHeight="1" x14ac:dyDescent="0.2">
      <c r="A236" s="8" t="s">
        <v>235</v>
      </c>
      <c r="B236" s="20" t="s">
        <v>618</v>
      </c>
      <c r="C236" s="15"/>
      <c r="D236" s="15"/>
      <c r="E236" s="15"/>
      <c r="F236" s="21"/>
      <c r="G236" s="58" t="str">
        <f>IF(C236="","",IF(C236="Yes","Please describe how this is accomplished.",""))</f>
        <v/>
      </c>
      <c r="H236" s="38"/>
      <c r="I236" s="38" t="s">
        <v>470</v>
      </c>
      <c r="J236" s="84"/>
      <c r="K236" s="87"/>
      <c r="L236" s="85">
        <f t="shared" si="4"/>
        <v>0</v>
      </c>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row>
    <row r="237" spans="1:176" ht="64.349999999999994" customHeight="1" x14ac:dyDescent="0.2">
      <c r="A237" s="8" t="s">
        <v>236</v>
      </c>
      <c r="B237" s="20" t="s">
        <v>349</v>
      </c>
      <c r="C237" s="15"/>
      <c r="D237" s="15"/>
      <c r="E237" s="15"/>
      <c r="F237" s="21"/>
      <c r="G237" s="58"/>
      <c r="H237" s="38" t="s">
        <v>471</v>
      </c>
      <c r="I237" s="38" t="s">
        <v>472</v>
      </c>
      <c r="J237" s="84"/>
      <c r="K237" s="87"/>
      <c r="L237" s="85">
        <f t="shared" si="4"/>
        <v>0</v>
      </c>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row>
    <row r="238" spans="1:176" ht="64.349999999999994" customHeight="1" x14ac:dyDescent="0.2">
      <c r="A238" s="8" t="s">
        <v>237</v>
      </c>
      <c r="B238" s="20" t="s">
        <v>549</v>
      </c>
      <c r="C238" s="15"/>
      <c r="D238" s="15"/>
      <c r="E238" s="15"/>
      <c r="F238" s="21"/>
      <c r="G238" s="58"/>
      <c r="H238" s="38">
        <v>51</v>
      </c>
      <c r="I238" s="38" t="s">
        <v>473</v>
      </c>
      <c r="J238" s="84"/>
      <c r="K238" s="87"/>
      <c r="L238" s="85">
        <f t="shared" si="4"/>
        <v>0</v>
      </c>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row>
    <row r="239" spans="1:176" ht="64.349999999999994" customHeight="1" x14ac:dyDescent="0.2">
      <c r="A239" s="8" t="s">
        <v>238</v>
      </c>
      <c r="B239" s="20" t="s">
        <v>294</v>
      </c>
      <c r="C239" s="15"/>
      <c r="D239" s="15"/>
      <c r="E239" s="15"/>
      <c r="F239" s="21"/>
      <c r="G239" s="58"/>
      <c r="H239" s="38">
        <v>20</v>
      </c>
      <c r="I239" s="38"/>
      <c r="J239" s="84"/>
      <c r="K239" s="87"/>
      <c r="L239" s="85">
        <f t="shared" si="4"/>
        <v>0</v>
      </c>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row>
    <row r="240" spans="1:176" ht="64.349999999999994" customHeight="1" x14ac:dyDescent="0.2">
      <c r="A240" s="8" t="s">
        <v>239</v>
      </c>
      <c r="B240" s="20" t="s">
        <v>495</v>
      </c>
      <c r="C240" s="15"/>
      <c r="D240" s="15"/>
      <c r="E240" s="15"/>
      <c r="F240" s="21"/>
      <c r="G240" s="58"/>
      <c r="H240" s="38">
        <v>37</v>
      </c>
      <c r="I240" s="38" t="s">
        <v>474</v>
      </c>
      <c r="J240" s="84"/>
      <c r="K240" s="87"/>
      <c r="L240" s="85">
        <f t="shared" si="4"/>
        <v>0</v>
      </c>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row>
    <row r="241" spans="1:176" ht="66" customHeight="1" x14ac:dyDescent="0.2">
      <c r="A241" s="8" t="s">
        <v>240</v>
      </c>
      <c r="B241" s="20" t="s">
        <v>619</v>
      </c>
      <c r="C241" s="15"/>
      <c r="D241" s="15"/>
      <c r="E241" s="15"/>
      <c r="F241" s="21"/>
      <c r="G241" s="58" t="str">
        <f>IF(C241="","",IF(C241="Yes","Please describe this program.","Please describe how this is accomplished in absence of formal process or program."))</f>
        <v/>
      </c>
      <c r="H241" s="38">
        <v>49</v>
      </c>
      <c r="I241" s="38" t="s">
        <v>475</v>
      </c>
      <c r="J241" s="84"/>
      <c r="K241" s="87"/>
      <c r="L241" s="85">
        <f t="shared" si="4"/>
        <v>0</v>
      </c>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row>
    <row r="242" spans="1:176" ht="73.5" customHeight="1" x14ac:dyDescent="0.2">
      <c r="A242" s="8" t="s">
        <v>241</v>
      </c>
      <c r="B242" s="20" t="s">
        <v>317</v>
      </c>
      <c r="C242" s="15"/>
      <c r="D242" s="15"/>
      <c r="E242" s="15"/>
      <c r="F242" s="21"/>
      <c r="G242" s="58"/>
      <c r="H242" s="38">
        <v>53</v>
      </c>
      <c r="I242" s="38" t="s">
        <v>476</v>
      </c>
      <c r="J242" s="84"/>
      <c r="K242" s="87"/>
      <c r="L242" s="85">
        <f t="shared" si="4"/>
        <v>0</v>
      </c>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row>
    <row r="243" spans="1:176" ht="64.349999999999994" customHeight="1" x14ac:dyDescent="0.2">
      <c r="A243" s="8" t="s">
        <v>242</v>
      </c>
      <c r="B243" s="20" t="s">
        <v>550</v>
      </c>
      <c r="C243" s="15"/>
      <c r="D243" s="15"/>
      <c r="E243" s="15"/>
      <c r="F243" s="21"/>
      <c r="G243" s="58"/>
      <c r="H243" s="38"/>
      <c r="I243" s="38" t="s">
        <v>477</v>
      </c>
      <c r="J243" s="84"/>
      <c r="K243" s="87"/>
      <c r="L243" s="85">
        <f t="shared" si="4"/>
        <v>0</v>
      </c>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row>
    <row r="244" spans="1:176" ht="76.5" customHeight="1" x14ac:dyDescent="0.2">
      <c r="A244" s="8" t="s">
        <v>243</v>
      </c>
      <c r="B244" s="20" t="s">
        <v>551</v>
      </c>
      <c r="C244" s="15"/>
      <c r="D244" s="15"/>
      <c r="E244" s="15"/>
      <c r="F244" s="21"/>
      <c r="G244" s="58"/>
      <c r="H244" s="38"/>
      <c r="I244" s="38" t="s">
        <v>478</v>
      </c>
      <c r="J244" s="84"/>
      <c r="K244" s="87"/>
      <c r="L244" s="85">
        <f t="shared" si="4"/>
        <v>0</v>
      </c>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row>
    <row r="245" spans="1:176" ht="78.75" customHeight="1" x14ac:dyDescent="0.2">
      <c r="A245" s="22" t="s">
        <v>244</v>
      </c>
      <c r="B245" s="20" t="s">
        <v>601</v>
      </c>
      <c r="C245" s="15"/>
      <c r="D245" s="15"/>
      <c r="E245" s="15"/>
      <c r="F245" s="21"/>
      <c r="G245" s="69" t="str">
        <f>IF(C245="","",IF(C245="Yes","Please describe these controls.",""))</f>
        <v/>
      </c>
      <c r="H245" s="38">
        <v>16</v>
      </c>
      <c r="I245" s="38" t="s">
        <v>428</v>
      </c>
      <c r="J245" s="84"/>
      <c r="K245" s="87"/>
      <c r="L245" s="85">
        <f t="shared" si="4"/>
        <v>0</v>
      </c>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row>
    <row r="246" spans="1:176" ht="64.349999999999994" customHeight="1" x14ac:dyDescent="0.2">
      <c r="A246" s="8" t="s">
        <v>245</v>
      </c>
      <c r="B246" s="20" t="s">
        <v>354</v>
      </c>
      <c r="C246" s="15"/>
      <c r="D246" s="15"/>
      <c r="E246" s="15"/>
      <c r="F246" s="21"/>
      <c r="G246" s="58"/>
      <c r="H246" s="38"/>
      <c r="I246" s="38"/>
      <c r="J246" s="84"/>
      <c r="K246" s="87"/>
      <c r="L246" s="85">
        <f t="shared" si="4"/>
        <v>0</v>
      </c>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row>
    <row r="247" spans="1:176" ht="51" customHeight="1" x14ac:dyDescent="0.2">
      <c r="A247" s="8" t="s">
        <v>254</v>
      </c>
      <c r="B247" s="20" t="s">
        <v>668</v>
      </c>
      <c r="C247" s="15"/>
      <c r="D247" s="15"/>
      <c r="E247" s="15"/>
      <c r="F247" s="21"/>
      <c r="G247" s="58" t="str">
        <f>IF(C247="","",IF(C247="Yes","Please describe how the antimalware is maintained and kept up-to-date.","Please describe any plans to install antimalware on all end nodes."))</f>
        <v/>
      </c>
      <c r="H247" s="38"/>
      <c r="I247" s="38"/>
      <c r="J247" s="84"/>
      <c r="K247" s="87"/>
      <c r="L247" s="85">
        <f t="shared" si="4"/>
        <v>0</v>
      </c>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row>
    <row r="248" spans="1:176" ht="64.349999999999994" customHeight="1" x14ac:dyDescent="0.2">
      <c r="A248" s="8" t="s">
        <v>274</v>
      </c>
      <c r="B248" s="3" t="s">
        <v>162</v>
      </c>
      <c r="C248" s="15"/>
      <c r="D248" s="15"/>
      <c r="E248" s="15"/>
      <c r="F248" s="14"/>
      <c r="G248" s="58" t="str">
        <f>IF(C248="","",IF(C248="Yes","Please describe your endpoint protection strategy.","Please describe your endpoint protection strategy."))</f>
        <v/>
      </c>
      <c r="H248" s="38"/>
      <c r="I248" s="38"/>
      <c r="J248" s="84"/>
      <c r="K248" s="87"/>
      <c r="L248" s="85">
        <f t="shared" si="4"/>
        <v>0</v>
      </c>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row>
    <row r="249" spans="1:176" ht="52.5" customHeight="1" x14ac:dyDescent="0.2">
      <c r="A249" s="8" t="s">
        <v>277</v>
      </c>
      <c r="B249" s="3" t="s">
        <v>132</v>
      </c>
      <c r="C249" s="15"/>
      <c r="D249" s="15"/>
      <c r="E249" s="15"/>
      <c r="F249" s="14"/>
      <c r="G249" s="59" t="str">
        <f>IF(C249="","",IF(C249="Yes","Describe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49" s="38"/>
      <c r="I249" s="38"/>
      <c r="J249" s="84"/>
      <c r="K249" s="87"/>
      <c r="L249" s="85">
        <f t="shared" si="4"/>
        <v>0</v>
      </c>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row>
    <row r="250" spans="1:176" ht="64.349999999999994" customHeight="1" x14ac:dyDescent="0.2">
      <c r="A250" s="8" t="s">
        <v>281</v>
      </c>
      <c r="B250" s="4" t="s">
        <v>139</v>
      </c>
      <c r="C250" s="15"/>
      <c r="D250" s="15"/>
      <c r="E250" s="15"/>
      <c r="F250" s="14"/>
      <c r="G250" s="59" t="str">
        <f>IF(C250="","",IF(C250="Yes","Please provide a copy of the most recent audit.","State any plans to have a SOC 2 Type II audit conducted."))</f>
        <v/>
      </c>
      <c r="H250" s="38"/>
      <c r="I250" s="38"/>
      <c r="J250" s="84"/>
      <c r="K250" s="87"/>
      <c r="L250" s="85">
        <f t="shared" si="4"/>
        <v>0</v>
      </c>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row>
    <row r="251" spans="1:176" ht="64.349999999999994" customHeight="1" x14ac:dyDescent="0.2">
      <c r="A251" s="8" t="s">
        <v>282</v>
      </c>
      <c r="B251" s="37" t="s">
        <v>669</v>
      </c>
      <c r="C251" s="15"/>
      <c r="D251" s="15"/>
      <c r="E251" s="15"/>
      <c r="F251" s="14"/>
      <c r="G251" s="59" t="str">
        <f>IF(C251="","",IF(C251="Yes","Please provide any currently effective certifications.","State any plans to obtain such compliance certifications."))</f>
        <v/>
      </c>
      <c r="H251" s="38"/>
      <c r="I251" s="38"/>
      <c r="J251" s="84"/>
      <c r="K251" s="87"/>
      <c r="L251" s="85">
        <f t="shared" si="4"/>
        <v>0</v>
      </c>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row>
    <row r="252" spans="1:176" ht="73.5" customHeight="1" x14ac:dyDescent="0.2">
      <c r="A252" s="8" t="s">
        <v>293</v>
      </c>
      <c r="B252" s="37" t="s">
        <v>670</v>
      </c>
      <c r="C252" s="15"/>
      <c r="D252" s="15"/>
      <c r="E252" s="15"/>
      <c r="F252" s="14"/>
      <c r="G252" s="58"/>
      <c r="H252" s="38"/>
      <c r="I252" s="38"/>
      <c r="J252" s="84"/>
      <c r="K252" s="87"/>
      <c r="L252" s="85">
        <f t="shared" si="4"/>
        <v>0</v>
      </c>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row>
    <row r="253" spans="1:176" ht="64.349999999999994" customHeight="1" x14ac:dyDescent="0.2">
      <c r="A253" s="8" t="s">
        <v>303</v>
      </c>
      <c r="B253" s="3" t="s">
        <v>552</v>
      </c>
      <c r="C253" s="15"/>
      <c r="D253" s="15"/>
      <c r="E253" s="15"/>
      <c r="F253" s="14"/>
      <c r="G253" s="58" t="str">
        <f>IF(C253="","",IF(C253="Yes","Provide a detailed summary outlining the security controls implemented to protect the Utility's data.",""))</f>
        <v/>
      </c>
      <c r="H253" s="38"/>
      <c r="I253" s="38"/>
      <c r="J253" s="84"/>
      <c r="K253" s="87"/>
      <c r="L253" s="85">
        <f t="shared" si="4"/>
        <v>0</v>
      </c>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row>
    <row r="254" spans="1:176" ht="46.5" customHeight="1" x14ac:dyDescent="0.2">
      <c r="A254" s="8" t="s">
        <v>312</v>
      </c>
      <c r="B254" s="3" t="s">
        <v>77</v>
      </c>
      <c r="C254" s="15"/>
      <c r="D254" s="15"/>
      <c r="E254" s="15"/>
      <c r="F254" s="14"/>
      <c r="G254" s="58" t="str">
        <f>IF(C254="","",IF(C254="Yes","State the retention period for security video.","State your plans to retain video monitoring feeds."))</f>
        <v/>
      </c>
      <c r="H254" s="38"/>
      <c r="I254" s="38"/>
      <c r="J254" s="84"/>
      <c r="K254" s="87"/>
      <c r="L254" s="85">
        <f t="shared" si="4"/>
        <v>0</v>
      </c>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row>
    <row r="255" spans="1:176" ht="46.5" customHeight="1" x14ac:dyDescent="0.2">
      <c r="A255" s="8" t="s">
        <v>316</v>
      </c>
      <c r="B255" s="3" t="s">
        <v>78</v>
      </c>
      <c r="C255" s="15"/>
      <c r="D255" s="15"/>
      <c r="E255" s="15"/>
      <c r="F255" s="14"/>
      <c r="G255" s="58" t="str">
        <f>IF(C255="","",IF(C255="Yes","Summarize your video monitoring strategy for datacenter staff.","Describe plans to have video feed(s) monitored."))</f>
        <v/>
      </c>
      <c r="H255" s="38"/>
      <c r="I255" s="38"/>
      <c r="J255" s="84"/>
      <c r="K255" s="87"/>
      <c r="L255" s="85">
        <f t="shared" si="4"/>
        <v>0</v>
      </c>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row>
    <row r="256" spans="1:176" ht="64.349999999999994" customHeight="1" x14ac:dyDescent="0.2">
      <c r="A256" s="8" t="s">
        <v>326</v>
      </c>
      <c r="B256" s="3" t="s">
        <v>496</v>
      </c>
      <c r="C256" s="15"/>
      <c r="D256" s="15"/>
      <c r="E256" s="15"/>
      <c r="F256" s="14"/>
      <c r="G256" s="56" t="str">
        <f>IF(C256="","",IF(C256="Yes","Describe all operating systems that are not currently supported, why they still need to be used (i.e. why they cannot be updated), and methods utilized to secure and maintain them.",""))</f>
        <v/>
      </c>
      <c r="H256" s="38"/>
      <c r="I256" s="38"/>
      <c r="J256" s="84"/>
      <c r="K256" s="87"/>
      <c r="L256" s="85">
        <f t="shared" si="4"/>
        <v>0</v>
      </c>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row>
    <row r="257" spans="1:176" ht="48.75" customHeight="1" x14ac:dyDescent="0.2">
      <c r="A257" s="8" t="s">
        <v>329</v>
      </c>
      <c r="B257" s="3" t="s">
        <v>553</v>
      </c>
      <c r="C257" s="15"/>
      <c r="D257" s="15"/>
      <c r="E257" s="15"/>
      <c r="F257" s="14"/>
      <c r="G257" s="56" t="str">
        <f>IF(C257="","",IF(C257="Yes","Detail all web browsers that are not currently supported, why they still need to be used (i.e. why they cannot be updated), and methods utilized to secure and maintain them.",""))</f>
        <v/>
      </c>
      <c r="H257" s="38"/>
      <c r="I257" s="38"/>
      <c r="J257" s="84"/>
      <c r="K257" s="87"/>
      <c r="L257" s="85">
        <f t="shared" si="4"/>
        <v>0</v>
      </c>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row>
    <row r="258" spans="1:176" ht="48.75" customHeight="1" x14ac:dyDescent="0.2">
      <c r="A258" s="8" t="s">
        <v>356</v>
      </c>
      <c r="B258" s="3" t="s">
        <v>82</v>
      </c>
      <c r="C258" s="15"/>
      <c r="D258" s="15"/>
      <c r="E258" s="15"/>
      <c r="F258" s="14"/>
      <c r="G258" s="58" t="str">
        <f>IF(C258="","",IF(C258="Yes","Summarize the information security principles designed into the product lifecycle and how they are integrated.","Describe why security principles are not designed into the product lifecycle."))</f>
        <v/>
      </c>
      <c r="H258" s="38"/>
      <c r="I258" s="38"/>
      <c r="J258" s="84"/>
      <c r="K258" s="87"/>
      <c r="L258" s="85">
        <f t="shared" si="4"/>
        <v>0</v>
      </c>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row>
    <row r="259" spans="1:176" ht="54" x14ac:dyDescent="0.2">
      <c r="A259" s="120" t="s">
        <v>148</v>
      </c>
      <c r="B259" s="120"/>
      <c r="C259" s="2" t="s">
        <v>574</v>
      </c>
      <c r="D259" s="2" t="s">
        <v>575</v>
      </c>
      <c r="E259" s="2" t="s">
        <v>104</v>
      </c>
      <c r="F259" s="2" t="s">
        <v>17</v>
      </c>
      <c r="G259" s="2" t="s">
        <v>18</v>
      </c>
      <c r="H259" s="2" t="s">
        <v>353</v>
      </c>
      <c r="I259" s="2" t="s">
        <v>380</v>
      </c>
      <c r="J259" s="108" t="s">
        <v>628</v>
      </c>
      <c r="K259" s="109"/>
      <c r="L259" s="83">
        <f>SUM(L260:L275)</f>
        <v>0</v>
      </c>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row>
    <row r="260" spans="1:176" ht="56.25" customHeight="1" x14ac:dyDescent="0.2">
      <c r="A260" s="8" t="s">
        <v>85</v>
      </c>
      <c r="B260" s="20" t="s">
        <v>352</v>
      </c>
      <c r="C260" s="15"/>
      <c r="D260" s="15"/>
      <c r="E260" s="15"/>
      <c r="F260" s="14"/>
      <c r="G260" s="58" t="str">
        <f>IF(C260="","",IF(C260="Yes","Describe your external application vulnerability scanning strategy and provide when the last assessment was performed","Describe any plans to implement external vulnerability scanning for your applications."))</f>
        <v/>
      </c>
      <c r="H260" s="38"/>
      <c r="I260" s="38"/>
      <c r="J260" s="84"/>
      <c r="K260" s="87"/>
      <c r="L260" s="85">
        <f t="shared" ref="L260:L277" si="5">J260*K260</f>
        <v>0</v>
      </c>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row>
    <row r="261" spans="1:176" ht="65.099999999999994" customHeight="1" x14ac:dyDescent="0.2">
      <c r="A261" s="8" t="s">
        <v>86</v>
      </c>
      <c r="B261" s="3" t="s">
        <v>88</v>
      </c>
      <c r="C261" s="15"/>
      <c r="D261" s="15"/>
      <c r="E261" s="15"/>
      <c r="F261" s="14"/>
      <c r="G261" s="58" t="str">
        <f>IF(C261="","",IF(C261="Yes","Summarize your vulnerability scanning strategy.","Describe plans to implement application vulnerability scanning prior to release."))</f>
        <v/>
      </c>
      <c r="H261" s="38"/>
      <c r="I261" s="38"/>
      <c r="J261" s="84"/>
      <c r="K261" s="87"/>
      <c r="L261" s="85">
        <f t="shared" si="5"/>
        <v>0</v>
      </c>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row>
    <row r="262" spans="1:176" ht="75" customHeight="1" x14ac:dyDescent="0.2">
      <c r="A262" s="8" t="s">
        <v>87</v>
      </c>
      <c r="B262" s="3" t="s">
        <v>80</v>
      </c>
      <c r="C262" s="15"/>
      <c r="D262" s="15"/>
      <c r="E262" s="15"/>
      <c r="F262" s="14"/>
      <c r="G262" s="60" t="str">
        <f>IF(C262="","",IF(C262="Yes","Provide a list of the results and all tools utilized during static code analysis or static application security testing.","State your plans to implement static code testing practices into your environment."))</f>
        <v/>
      </c>
      <c r="H262" s="38"/>
      <c r="I262" s="38"/>
      <c r="J262" s="84"/>
      <c r="K262" s="87"/>
      <c r="L262" s="85">
        <f t="shared" si="5"/>
        <v>0</v>
      </c>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row>
    <row r="263" spans="1:176" ht="102" customHeight="1" x14ac:dyDescent="0.2">
      <c r="A263" s="8" t="s">
        <v>89</v>
      </c>
      <c r="B263" s="20" t="s">
        <v>620</v>
      </c>
      <c r="C263" s="15"/>
      <c r="D263" s="15"/>
      <c r="E263" s="15"/>
      <c r="F263" s="21"/>
      <c r="G263" s="58"/>
      <c r="H263" s="38"/>
      <c r="I263" s="38" t="s">
        <v>477</v>
      </c>
      <c r="J263" s="84"/>
      <c r="K263" s="87"/>
      <c r="L263" s="85">
        <f t="shared" si="5"/>
        <v>0</v>
      </c>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row>
    <row r="264" spans="1:176" ht="90.95" customHeight="1" x14ac:dyDescent="0.2">
      <c r="A264" s="8" t="s">
        <v>90</v>
      </c>
      <c r="B264" s="20" t="s">
        <v>554</v>
      </c>
      <c r="C264" s="15"/>
      <c r="D264" s="15"/>
      <c r="E264" s="15"/>
      <c r="F264" s="21"/>
      <c r="G264" s="56" t="str">
        <f>IF(C264="","",IF(C264="Yes","Please describe in adequate detail, including timeframe for notification.",""))</f>
        <v/>
      </c>
      <c r="H264" s="38">
        <v>57</v>
      </c>
      <c r="I264" s="38" t="s">
        <v>479</v>
      </c>
      <c r="J264" s="84"/>
      <c r="K264" s="87"/>
      <c r="L264" s="85">
        <f t="shared" si="5"/>
        <v>0</v>
      </c>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row>
    <row r="265" spans="1:176" ht="71.25" customHeight="1" x14ac:dyDescent="0.2">
      <c r="A265" s="8" t="s">
        <v>91</v>
      </c>
      <c r="B265" s="20" t="s">
        <v>671</v>
      </c>
      <c r="C265" s="15"/>
      <c r="D265" s="15"/>
      <c r="E265" s="15"/>
      <c r="F265" s="21"/>
      <c r="G265" s="56" t="str">
        <f>IF(C265="","",IF(C265="Yes","Describe your process to remediate security risks identified and provide timeframe.","Describe any plans to implement a process to remediate security risks identified."))</f>
        <v/>
      </c>
      <c r="H265" s="38"/>
      <c r="I265" s="38"/>
      <c r="J265" s="84"/>
      <c r="K265" s="87"/>
      <c r="L265" s="85">
        <f t="shared" si="5"/>
        <v>0</v>
      </c>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row>
    <row r="266" spans="1:176" ht="62.25" customHeight="1" x14ac:dyDescent="0.2">
      <c r="A266" s="8" t="s">
        <v>92</v>
      </c>
      <c r="B266" s="20" t="s">
        <v>621</v>
      </c>
      <c r="C266" s="15"/>
      <c r="D266" s="15"/>
      <c r="E266" s="15"/>
      <c r="F266" s="21"/>
      <c r="G266" s="56"/>
      <c r="H266" s="38"/>
      <c r="I266" s="38"/>
      <c r="J266" s="84"/>
      <c r="K266" s="87"/>
      <c r="L266" s="85">
        <f t="shared" si="5"/>
        <v>0</v>
      </c>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row>
    <row r="267" spans="1:176" ht="55.5" customHeight="1" x14ac:dyDescent="0.2">
      <c r="A267" s="8" t="s">
        <v>246</v>
      </c>
      <c r="B267" s="3" t="s">
        <v>115</v>
      </c>
      <c r="C267" s="15"/>
      <c r="D267" s="15"/>
      <c r="E267" s="15"/>
      <c r="F267" s="14"/>
      <c r="G267" s="58" t="str">
        <f>IF(C267="","",IF(C267="Yes","Decribe your external system vulnerability scanning strategy, including the frequency of both types of scans.","Describe any plans to implement vulnerability scanning for your systems."))</f>
        <v/>
      </c>
      <c r="H267" s="38" t="s">
        <v>583</v>
      </c>
      <c r="I267" s="38" t="s">
        <v>472</v>
      </c>
      <c r="J267" s="84"/>
      <c r="K267" s="87"/>
      <c r="L267" s="85">
        <f t="shared" si="5"/>
        <v>0</v>
      </c>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row>
    <row r="268" spans="1:176" ht="48" customHeight="1" x14ac:dyDescent="0.2">
      <c r="A268" s="8" t="s">
        <v>247</v>
      </c>
      <c r="B268" s="3" t="s">
        <v>116</v>
      </c>
      <c r="C268" s="15"/>
      <c r="D268" s="15"/>
      <c r="E268" s="15"/>
      <c r="F268" s="14"/>
      <c r="G268" s="58" t="str">
        <f>IF(C268="","",IF(C268="Yes","State the date of your most recent system external assessment.","Describe any plans to have system external assessment(s) performed on your systems."))</f>
        <v/>
      </c>
      <c r="H268" s="38"/>
      <c r="I268" s="38"/>
      <c r="J268" s="84"/>
      <c r="K268" s="87"/>
      <c r="L268" s="85">
        <f t="shared" si="5"/>
        <v>0</v>
      </c>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row>
    <row r="269" spans="1:176" ht="65.099999999999994" customHeight="1" x14ac:dyDescent="0.2">
      <c r="A269" s="8" t="s">
        <v>248</v>
      </c>
      <c r="B269" s="3" t="s">
        <v>94</v>
      </c>
      <c r="C269" s="15"/>
      <c r="D269" s="15"/>
      <c r="E269" s="15"/>
      <c r="F269" s="13"/>
      <c r="G269" s="58" t="s">
        <v>581</v>
      </c>
      <c r="H269" s="38"/>
      <c r="I269" s="38"/>
      <c r="J269" s="84"/>
      <c r="K269" s="87"/>
      <c r="L269" s="85">
        <f t="shared" si="5"/>
        <v>0</v>
      </c>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row>
    <row r="270" spans="1:176" ht="48" customHeight="1" x14ac:dyDescent="0.2">
      <c r="A270" s="8" t="s">
        <v>249</v>
      </c>
      <c r="B270" s="3" t="s">
        <v>555</v>
      </c>
      <c r="C270" s="15"/>
      <c r="D270" s="15"/>
      <c r="E270" s="15"/>
      <c r="F270" s="14"/>
      <c r="G270" s="58" t="str">
        <f>IF(C270="","",IF(C270="Yes","Provide a reference to or attach security scan documentation.","Describe why security scan results will not be provided to the Utility."))</f>
        <v/>
      </c>
      <c r="H270" s="38"/>
      <c r="I270" s="38"/>
      <c r="J270" s="84"/>
      <c r="K270" s="87"/>
      <c r="L270" s="85">
        <f t="shared" si="5"/>
        <v>0</v>
      </c>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row>
    <row r="271" spans="1:176" ht="54" customHeight="1" x14ac:dyDescent="0.2">
      <c r="A271" s="8" t="s">
        <v>250</v>
      </c>
      <c r="B271" s="20" t="s">
        <v>672</v>
      </c>
      <c r="C271" s="15"/>
      <c r="D271" s="15"/>
      <c r="E271" s="15"/>
      <c r="F271" s="14"/>
      <c r="G271" s="58" t="str">
        <f>IF(C271="","",IF(C271="Yes","Provide reference to the process or procedure to setup security testing times and scopes.","Provide a brief summary for your response."))</f>
        <v/>
      </c>
      <c r="H271" s="38"/>
      <c r="I271" s="38"/>
      <c r="J271" s="84"/>
      <c r="K271" s="87"/>
      <c r="L271" s="85">
        <f t="shared" si="5"/>
        <v>0</v>
      </c>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row>
    <row r="272" spans="1:176" ht="75" customHeight="1" x14ac:dyDescent="0.2">
      <c r="A272" s="8" t="s">
        <v>311</v>
      </c>
      <c r="B272" s="3" t="s">
        <v>81</v>
      </c>
      <c r="C272" s="15"/>
      <c r="D272" s="15"/>
      <c r="E272" s="15"/>
      <c r="F272" s="14"/>
      <c r="G272" s="60" t="str">
        <f>IF(C272="","",IF(C272="Yes","Describe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72" s="38"/>
      <c r="I272" s="38" t="s">
        <v>415</v>
      </c>
      <c r="J272" s="84"/>
      <c r="K272" s="87"/>
      <c r="L272" s="85">
        <f t="shared" si="5"/>
        <v>0</v>
      </c>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row>
    <row r="273" spans="1:176" ht="45.75" customHeight="1" x14ac:dyDescent="0.2">
      <c r="A273" s="8" t="s">
        <v>321</v>
      </c>
      <c r="B273" s="3" t="s">
        <v>83</v>
      </c>
      <c r="C273" s="15"/>
      <c r="D273" s="15"/>
      <c r="E273" s="15"/>
      <c r="F273" s="14"/>
      <c r="G273" s="60" t="str">
        <f>IF(C273="","",IF(C273="Yes","Describe or provide a reference to/attach your system development life cycle methodology including your environments, version control, and change management (if not already covered in the Change Management section).","Describe any plans to implement a documented SDLC."))</f>
        <v/>
      </c>
      <c r="H273" s="38"/>
      <c r="I273" s="38"/>
      <c r="J273" s="84"/>
      <c r="K273" s="87"/>
      <c r="L273" s="85">
        <f t="shared" si="5"/>
        <v>0</v>
      </c>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row>
    <row r="274" spans="1:176" ht="54" customHeight="1" x14ac:dyDescent="0.2">
      <c r="A274" s="8" t="s">
        <v>323</v>
      </c>
      <c r="B274" s="3" t="s">
        <v>103</v>
      </c>
      <c r="C274" s="15"/>
      <c r="D274" s="15"/>
      <c r="E274" s="15"/>
      <c r="F274" s="14"/>
      <c r="G274" s="60"/>
      <c r="H274" s="38"/>
      <c r="I274" s="38"/>
      <c r="J274" s="84"/>
      <c r="K274" s="87"/>
      <c r="L274" s="85">
        <f t="shared" si="5"/>
        <v>0</v>
      </c>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row>
    <row r="275" spans="1:176" ht="57.75" customHeight="1" x14ac:dyDescent="0.2">
      <c r="A275" s="8" t="s">
        <v>324</v>
      </c>
      <c r="B275" s="20" t="s">
        <v>622</v>
      </c>
      <c r="C275" s="15"/>
      <c r="D275" s="15"/>
      <c r="E275" s="15"/>
      <c r="F275" s="13"/>
      <c r="G275" s="56" t="str">
        <f>IF(C275="","",IF(C275="Yes","Please provide information on the pentetration testing (i.e., when was the test conducted, key findings, etc.).","Please detail any current plans to conduct third-party penetration testing."))</f>
        <v/>
      </c>
      <c r="H275" s="38"/>
      <c r="I275" s="38"/>
      <c r="J275" s="84"/>
      <c r="K275" s="87"/>
      <c r="L275" s="85">
        <f t="shared" si="5"/>
        <v>0</v>
      </c>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row>
    <row r="276" spans="1:176" ht="54" x14ac:dyDescent="0.2">
      <c r="A276" s="120" t="s">
        <v>135</v>
      </c>
      <c r="B276" s="120"/>
      <c r="C276" s="2" t="s">
        <v>574</v>
      </c>
      <c r="D276" s="2" t="s">
        <v>575</v>
      </c>
      <c r="E276" s="2" t="s">
        <v>104</v>
      </c>
      <c r="F276" s="2" t="s">
        <v>17</v>
      </c>
      <c r="G276" s="2" t="s">
        <v>18</v>
      </c>
      <c r="H276" s="2" t="s">
        <v>353</v>
      </c>
      <c r="I276" s="2" t="s">
        <v>380</v>
      </c>
      <c r="J276" s="108" t="s">
        <v>628</v>
      </c>
      <c r="K276" s="109"/>
      <c r="L276" s="83">
        <f>L277</f>
        <v>0</v>
      </c>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row>
    <row r="277" spans="1:176" ht="45.75" customHeight="1" x14ac:dyDescent="0.2">
      <c r="A277" s="8" t="s">
        <v>136</v>
      </c>
      <c r="B277" s="3" t="s">
        <v>138</v>
      </c>
      <c r="C277" s="14"/>
      <c r="D277" s="14"/>
      <c r="E277" s="14"/>
      <c r="F277" s="14"/>
      <c r="G277" s="58"/>
      <c r="H277" s="40"/>
      <c r="I277" s="41"/>
      <c r="J277" s="84"/>
      <c r="K277" s="87"/>
      <c r="L277" s="85">
        <f t="shared" si="5"/>
        <v>0</v>
      </c>
      <c r="FT277"/>
    </row>
  </sheetData>
  <mergeCells count="80">
    <mergeCell ref="C17:I17"/>
    <mergeCell ref="C18:I18"/>
    <mergeCell ref="C19:I19"/>
    <mergeCell ref="A2:B2"/>
    <mergeCell ref="A121:B121"/>
    <mergeCell ref="A42:I42"/>
    <mergeCell ref="C40:I40"/>
    <mergeCell ref="C59:F59"/>
    <mergeCell ref="C48:F48"/>
    <mergeCell ref="C47:F47"/>
    <mergeCell ref="A44:B44"/>
    <mergeCell ref="C46:F46"/>
    <mergeCell ref="C45:E45"/>
    <mergeCell ref="A43:I43"/>
    <mergeCell ref="C115:F115"/>
    <mergeCell ref="A76:B76"/>
    <mergeCell ref="A142:B142"/>
    <mergeCell ref="A1:F1"/>
    <mergeCell ref="A26:G26"/>
    <mergeCell ref="B39:G39"/>
    <mergeCell ref="C23:I23"/>
    <mergeCell ref="C24:I24"/>
    <mergeCell ref="A25:I25"/>
    <mergeCell ref="C2:I2"/>
    <mergeCell ref="A4:I4"/>
    <mergeCell ref="A3:I3"/>
    <mergeCell ref="A5:I5"/>
    <mergeCell ref="C6:I6"/>
    <mergeCell ref="C11:I11"/>
    <mergeCell ref="C12:I12"/>
    <mergeCell ref="A60:B60"/>
    <mergeCell ref="C41:I41"/>
    <mergeCell ref="C77:E77"/>
    <mergeCell ref="C80:F80"/>
    <mergeCell ref="C85:E85"/>
    <mergeCell ref="C86:E86"/>
    <mergeCell ref="C78:E78"/>
    <mergeCell ref="C63:F63"/>
    <mergeCell ref="C74:F74"/>
    <mergeCell ref="A276:B276"/>
    <mergeCell ref="A182:B182"/>
    <mergeCell ref="A208:B208"/>
    <mergeCell ref="A221:B221"/>
    <mergeCell ref="A232:B232"/>
    <mergeCell ref="A259:B259"/>
    <mergeCell ref="A157:B157"/>
    <mergeCell ref="C79:E79"/>
    <mergeCell ref="C71:E71"/>
    <mergeCell ref="C75:F75"/>
    <mergeCell ref="C87:F87"/>
    <mergeCell ref="C88:E88"/>
    <mergeCell ref="C89:E89"/>
    <mergeCell ref="A90:B90"/>
    <mergeCell ref="J5:K5"/>
    <mergeCell ref="J44:K44"/>
    <mergeCell ref="J60:K60"/>
    <mergeCell ref="C61:F61"/>
    <mergeCell ref="C62:F62"/>
    <mergeCell ref="C14:I14"/>
    <mergeCell ref="C7:I7"/>
    <mergeCell ref="C8:I8"/>
    <mergeCell ref="C9:I9"/>
    <mergeCell ref="C10:I10"/>
    <mergeCell ref="C13:I13"/>
    <mergeCell ref="C20:I20"/>
    <mergeCell ref="C21:I21"/>
    <mergeCell ref="C22:I22"/>
    <mergeCell ref="C15:I15"/>
    <mergeCell ref="C16:I16"/>
    <mergeCell ref="J76:K76"/>
    <mergeCell ref="J90:K90"/>
    <mergeCell ref="J121:K121"/>
    <mergeCell ref="J142:K142"/>
    <mergeCell ref="J157:K157"/>
    <mergeCell ref="J276:K276"/>
    <mergeCell ref="J182:K182"/>
    <mergeCell ref="J208:K208"/>
    <mergeCell ref="J221:K221"/>
    <mergeCell ref="J232:K232"/>
    <mergeCell ref="J259:K259"/>
  </mergeCells>
  <phoneticPr fontId="28" type="noConversion"/>
  <conditionalFormatting sqref="L5 L44:L277">
    <cfRule type="cellIs" dxfId="1" priority="13" operator="lessThan">
      <formula>1</formula>
    </cfRule>
  </conditionalFormatting>
  <dataValidations count="1">
    <dataValidation type="list" allowBlank="1" showInputMessage="1" showErrorMessage="1" sqref="J45:K59 J61:K75 J77:K89 J91:K120 J122:K141 J143:K156 J158:K181 J183:K207 J209:K220 J222:K231 J233:K258 J277:K1048576 J260:K275" xr:uid="{8B351DFD-D064-4FE3-A6DD-61DFD5B3071C}">
      <formula1>"1,2,3,4,5"</formula1>
    </dataValidation>
  </dataValidations>
  <pageMargins left="0.75" right="0.75" top="1" bottom="1" header="0.5" footer="0.5"/>
  <pageSetup paperSize="5" scale="1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25</xdr:row>
                    <xdr:rowOff>219075</xdr:rowOff>
                  </from>
                  <to>
                    <xdr:col>0</xdr:col>
                    <xdr:colOff>695325</xdr:colOff>
                    <xdr:row>27</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26</xdr:row>
                    <xdr:rowOff>190500</xdr:rowOff>
                  </from>
                  <to>
                    <xdr:col>0</xdr:col>
                    <xdr:colOff>695325</xdr:colOff>
                    <xdr:row>28</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29</xdr:row>
                    <xdr:rowOff>190500</xdr:rowOff>
                  </from>
                  <to>
                    <xdr:col>0</xdr:col>
                    <xdr:colOff>695325</xdr:colOff>
                    <xdr:row>31</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0</xdr:col>
                    <xdr:colOff>419100</xdr:colOff>
                    <xdr:row>30</xdr:row>
                    <xdr:rowOff>180975</xdr:rowOff>
                  </from>
                  <to>
                    <xdr:col>0</xdr:col>
                    <xdr:colOff>695325</xdr:colOff>
                    <xdr:row>32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60353F1-9BEA-4E78-838E-41DD93D0A9E2}">
          <x14:formula1>
            <xm:f>Lists!$C$1:$C$3</xm:f>
          </x14:formula1>
          <xm:sqref>C45:E45 C64:E73 C270:E275 C81:E86 C88:E89 C113:E114 C52:E58 C205:E207 C224:E231 C150:E156 C119:E120 C77:E79 C183:E201 C116:E117 C203:E203 C222:E222 C143:E148 C158:E166 C168:E169 C171:E175 C209:E220 C122:E141 C92:E110 C233:E258 C177:E179 C181:E181 C260:E268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BA76B7D9A9404AB687F5AE70EC3327" ma:contentTypeVersion="5" ma:contentTypeDescription="Create a new document." ma:contentTypeScope="" ma:versionID="f045240be89f3005c10b3463b2c4b84c">
  <xsd:schema xmlns:xsd="http://www.w3.org/2001/XMLSchema" xmlns:xs="http://www.w3.org/2001/XMLSchema" xmlns:p="http://schemas.microsoft.com/office/2006/metadata/properties" xmlns:ns2="6dbdea58-36ce-4410-95f9-7df5ed4dea3b" targetNamespace="http://schemas.microsoft.com/office/2006/metadata/properties" ma:root="true" ma:fieldsID="8eed10617525148466d988a986d66b13" ns2:_="">
    <xsd:import namespace="6dbdea58-36ce-4410-95f9-7df5ed4dea3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ea58-36ce-4410-95f9-7df5ed4dea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330AFE-EE77-4D17-BEE5-D03312FE0F78}">
  <ds:schemaRefs>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purl.org/dc/elements/1.1/"/>
    <ds:schemaRef ds:uri="f4f4e5ff-c7e2-442b-9a2b-f0472db823b5"/>
    <ds:schemaRef ds:uri="http://www.w3.org/XML/1998/namespace"/>
    <ds:schemaRef ds:uri="http://purl.org/dc/dcmitype/"/>
  </ds:schemaRefs>
</ds:datastoreItem>
</file>

<file path=customXml/itemProps2.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3.xml><?xml version="1.0" encoding="utf-8"?>
<ds:datastoreItem xmlns:ds="http://schemas.openxmlformats.org/officeDocument/2006/customXml" ds:itemID="{8B00F822-2BD9-4C3A-A46F-023E0B8C9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bdea58-36ce-4410-95f9-7df5ed4dea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Lists</vt:lpstr>
      <vt:lpstr>Confidentiality</vt:lpstr>
      <vt:lpstr>Change Log</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2023-06-29T13:59:57Z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0x010100D7BA76B7D9A9404AB687F5AE70EC3327</vt:lpwstr>
  </property>
</Properties>
</file>