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4ABDC107-FE58-4952-BD92-3B541826D3AD}" xr6:coauthVersionLast="47" xr6:coauthVersionMax="47" xr10:uidLastSave="{00000000-0000-0000-0000-000000000000}"/>
  <bookViews>
    <workbookView xWindow="28680" yWindow="-120" windowWidth="29040" windowHeight="15720" firstSheet="1" activeTab="1"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6" i="1" l="1"/>
  <c r="G106" i="1"/>
  <c r="G265" i="1"/>
  <c r="G209" i="1"/>
  <c r="G247" i="1"/>
  <c r="G110" i="1"/>
  <c r="G264" i="1"/>
  <c r="G122" i="1"/>
  <c r="G72" i="1"/>
  <c r="G71" i="1"/>
  <c r="L277" i="1"/>
  <c r="L276" i="1" s="1"/>
  <c r="L275" i="1"/>
  <c r="L274" i="1"/>
  <c r="L273" i="1"/>
  <c r="L272" i="1"/>
  <c r="L271" i="1"/>
  <c r="L270" i="1"/>
  <c r="L269" i="1"/>
  <c r="L268" i="1"/>
  <c r="L267" i="1"/>
  <c r="L266" i="1"/>
  <c r="L265" i="1"/>
  <c r="L264" i="1"/>
  <c r="L263" i="1"/>
  <c r="L262" i="1"/>
  <c r="L261" i="1"/>
  <c r="L260"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1" i="1"/>
  <c r="L230" i="1"/>
  <c r="L229" i="1"/>
  <c r="L228" i="1"/>
  <c r="L227" i="1"/>
  <c r="L226" i="1"/>
  <c r="L225" i="1"/>
  <c r="L224" i="1"/>
  <c r="L223" i="1"/>
  <c r="L222" i="1"/>
  <c r="L220" i="1"/>
  <c r="L219" i="1"/>
  <c r="L218" i="1"/>
  <c r="L217" i="1"/>
  <c r="L216" i="1"/>
  <c r="L215" i="1"/>
  <c r="L214" i="1"/>
  <c r="L213" i="1"/>
  <c r="L212" i="1"/>
  <c r="L211" i="1"/>
  <c r="L210" i="1"/>
  <c r="L209"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1" i="1"/>
  <c r="L180" i="1"/>
  <c r="L179" i="1"/>
  <c r="L178" i="1"/>
  <c r="L177" i="1"/>
  <c r="L176" i="1"/>
  <c r="L175" i="1"/>
  <c r="L174" i="1"/>
  <c r="L173" i="1"/>
  <c r="L172" i="1"/>
  <c r="L171" i="1"/>
  <c r="L170" i="1"/>
  <c r="L169" i="1"/>
  <c r="L168" i="1"/>
  <c r="L167" i="1"/>
  <c r="L166" i="1"/>
  <c r="L165" i="1"/>
  <c r="L164" i="1"/>
  <c r="L163" i="1"/>
  <c r="L162" i="1"/>
  <c r="L161" i="1"/>
  <c r="L160" i="1"/>
  <c r="L159" i="1"/>
  <c r="L158" i="1"/>
  <c r="L156" i="1"/>
  <c r="L155" i="1"/>
  <c r="L154" i="1"/>
  <c r="L153" i="1"/>
  <c r="L152" i="1"/>
  <c r="L151" i="1"/>
  <c r="L150" i="1"/>
  <c r="L149" i="1"/>
  <c r="L148" i="1"/>
  <c r="L147" i="1"/>
  <c r="L146" i="1"/>
  <c r="L145" i="1"/>
  <c r="L144" i="1"/>
  <c r="L143" i="1"/>
  <c r="L141" i="1"/>
  <c r="L140" i="1"/>
  <c r="L139" i="1"/>
  <c r="L138" i="1"/>
  <c r="L137" i="1"/>
  <c r="L136" i="1"/>
  <c r="L135" i="1"/>
  <c r="L134" i="1"/>
  <c r="L133" i="1"/>
  <c r="L132" i="1"/>
  <c r="L131" i="1"/>
  <c r="L130" i="1"/>
  <c r="L129" i="1"/>
  <c r="L128" i="1"/>
  <c r="L127" i="1"/>
  <c r="L126" i="1"/>
  <c r="L125" i="1"/>
  <c r="L124" i="1"/>
  <c r="L123" i="1"/>
  <c r="L122" i="1"/>
  <c r="L120" i="1"/>
  <c r="L119" i="1"/>
  <c r="L118" i="1"/>
  <c r="L117" i="1"/>
  <c r="L116" i="1"/>
  <c r="L115" i="1"/>
  <c r="L114" i="1"/>
  <c r="L113" i="1"/>
  <c r="L112" i="1"/>
  <c r="L111" i="1"/>
  <c r="L110" i="1"/>
  <c r="L109" i="1"/>
  <c r="L108" i="1"/>
  <c r="L107"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59" i="1"/>
  <c r="L58" i="1"/>
  <c r="L57" i="1"/>
  <c r="L56" i="1"/>
  <c r="L55" i="1"/>
  <c r="L54" i="1"/>
  <c r="L53" i="1"/>
  <c r="L52" i="1"/>
  <c r="L51" i="1"/>
  <c r="L50" i="1"/>
  <c r="L49" i="1"/>
  <c r="L48" i="1"/>
  <c r="L47" i="1"/>
  <c r="L46" i="1"/>
  <c r="L45" i="1"/>
  <c r="G262" i="1"/>
  <c r="G275" i="1"/>
  <c r="G150" i="1"/>
  <c r="G138" i="1"/>
  <c r="G136" i="1"/>
  <c r="L90" i="1" l="1"/>
  <c r="L142" i="1"/>
  <c r="L76" i="1"/>
  <c r="L60" i="1"/>
  <c r="L221" i="1"/>
  <c r="L121" i="1"/>
  <c r="L208" i="1"/>
  <c r="L44" i="1"/>
  <c r="L182" i="1"/>
  <c r="L157" i="1"/>
  <c r="L232" i="1"/>
  <c r="L259" i="1"/>
  <c r="G159" i="1"/>
  <c r="L5" i="1" l="1"/>
  <c r="G78" i="1"/>
  <c r="G77" i="1" l="1"/>
  <c r="G251" i="1" l="1"/>
  <c r="G228" i="1"/>
  <c r="G135" i="1"/>
  <c r="G120" i="1"/>
  <c r="G98" i="1"/>
  <c r="G97" i="1"/>
  <c r="G260" i="1"/>
  <c r="G189" i="1"/>
  <c r="G130" i="1"/>
  <c r="G94" i="1"/>
  <c r="G68" i="1"/>
  <c r="G67" i="1"/>
  <c r="G66" i="1"/>
  <c r="G65" i="1"/>
  <c r="G64" i="1"/>
  <c r="G57" i="1"/>
  <c r="G52" i="1"/>
  <c r="G114" i="1" l="1"/>
  <c r="G137" i="1" l="1"/>
  <c r="G134" i="1"/>
  <c r="G126" i="1"/>
  <c r="G273" i="1" l="1"/>
  <c r="G272" i="1"/>
  <c r="G271" i="1"/>
  <c r="G270" i="1"/>
  <c r="G268" i="1"/>
  <c r="G267" i="1"/>
  <c r="G261" i="1"/>
  <c r="G258" i="1"/>
  <c r="G257" i="1"/>
  <c r="G256" i="1"/>
  <c r="G255" i="1"/>
  <c r="G254" i="1"/>
  <c r="G253" i="1"/>
  <c r="G250" i="1"/>
  <c r="G249" i="1"/>
  <c r="G248" i="1"/>
  <c r="G245" i="1"/>
  <c r="G241" i="1"/>
  <c r="G236" i="1"/>
  <c r="G235" i="1"/>
  <c r="G234" i="1"/>
  <c r="G233" i="1"/>
  <c r="G231" i="1"/>
  <c r="G230" i="1"/>
  <c r="G229" i="1"/>
  <c r="G227" i="1"/>
  <c r="G226" i="1"/>
  <c r="G225" i="1"/>
  <c r="G224" i="1"/>
  <c r="G219" i="1"/>
  <c r="G213" i="1"/>
  <c r="G205" i="1"/>
  <c r="G203" i="1"/>
  <c r="G201" i="1"/>
  <c r="G199" i="1"/>
  <c r="G198" i="1"/>
  <c r="G197" i="1"/>
  <c r="G195" i="1"/>
  <c r="G194" i="1"/>
  <c r="G193" i="1"/>
  <c r="G192" i="1"/>
  <c r="G190" i="1"/>
  <c r="G186" i="1"/>
  <c r="G185" i="1"/>
  <c r="G183" i="1"/>
  <c r="G173" i="1"/>
  <c r="G171" i="1"/>
  <c r="G169" i="1"/>
  <c r="G168" i="1"/>
  <c r="G166" i="1"/>
  <c r="G165" i="1"/>
  <c r="G164" i="1"/>
  <c r="G162" i="1"/>
  <c r="G160" i="1"/>
  <c r="G158" i="1"/>
  <c r="G156" i="1"/>
  <c r="G155" i="1"/>
  <c r="G154" i="1"/>
  <c r="G153" i="1"/>
  <c r="G152" i="1"/>
  <c r="G151" i="1"/>
  <c r="G148" i="1"/>
  <c r="G147" i="1"/>
  <c r="G144" i="1"/>
  <c r="G143" i="1"/>
  <c r="G140" i="1"/>
  <c r="G139" i="1"/>
  <c r="G133" i="1"/>
  <c r="G128" i="1"/>
  <c r="G127" i="1"/>
  <c r="G125" i="1"/>
  <c r="G124" i="1"/>
  <c r="G123" i="1"/>
  <c r="G119" i="1"/>
  <c r="G117" i="1"/>
  <c r="G116" i="1"/>
  <c r="G113" i="1"/>
  <c r="G109" i="1"/>
  <c r="G108" i="1"/>
  <c r="G107" i="1"/>
  <c r="G104" i="1"/>
  <c r="G103" i="1"/>
  <c r="G102" i="1"/>
  <c r="G101" i="1"/>
  <c r="G99" i="1"/>
  <c r="G93" i="1"/>
  <c r="G92" i="1"/>
  <c r="G89" i="1"/>
  <c r="G88" i="1"/>
  <c r="G85" i="1"/>
  <c r="G70" i="1"/>
  <c r="G58" i="1"/>
  <c r="G53" i="1"/>
</calcChain>
</file>

<file path=xl/sharedStrings.xml><?xml version="1.0" encoding="utf-8"?>
<sst xmlns="http://schemas.openxmlformats.org/spreadsheetml/2006/main" count="795" uniqueCount="677">
  <si>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</si>
  <si>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</si>
  <si>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</si>
  <si>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</si>
  <si>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</si>
  <si>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</si>
  <si>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</si>
  <si>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</si>
  <si>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</si>
  <si>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</si>
  <si>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</si>
  <si>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</si>
  <si>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</si>
  <si>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</si>
  <si>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</si>
  <si>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</si>
  <si>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</si>
  <si>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</si>
  <si>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</si>
  <si>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</si>
  <si>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</si>
  <si>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</si>
  <si>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</si>
  <si>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</si>
  <si>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</si>
  <si>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</si>
  <si>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</si>
  <si>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</si>
  <si>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</si>
  <si>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</si>
  <si>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</si>
  <si>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</si>
  <si>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</si>
  <si>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</si>
  <si>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</si>
  <si>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</si>
  <si>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</si>
  <si>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</si>
  <si>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</si>
  <si>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</si>
  <si>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</si>
  <si>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</si>
  <si>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</si>
  <si>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</si>
  <si>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</si>
  <si>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</si>
  <si>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</si>
  <si>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</si>
  <si>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</si>
  <si>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</si>
  <si>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</si>
  <si>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</si>
  <si>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</si>
  <si>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</si>
  <si>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</si>
  <si>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</si>
  <si>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</si>
  <si>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</si>
  <si>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</si>
  <si>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</si>
  <si>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</si>
  <si>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</si>
  <si>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</si>
  <si>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</si>
  <si>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</si>
  <si>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</si>
  <si>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</si>
  <si>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</si>
  <si>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</si>
  <si>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</si>
  <si>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</si>
  <si>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</si>
  <si>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</si>
  <si>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</si>
  <si>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</si>
  <si>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</si>
  <si>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</si>
  <si>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</si>
  <si>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</si>
  <si>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</si>
  <si>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</si>
  <si>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</si>
  <si>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</si>
  <si>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</si>
  <si>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</si>
  <si>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</si>
  <si>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</si>
  <si>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</si>
  <si>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</si>
  <si>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</si>
  <si>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</si>
  <si>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</si>
  <si>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</si>
  <si>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Do you have existing energy sector customers?</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</si>
  <si>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</si>
  <si>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</si>
  <si>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</si>
  <si>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</si>
  <si>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</si>
  <si>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</si>
  <si>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</si>
  <si>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</si>
  <si>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</si>
  <si>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</si>
  <si>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</si>
  <si>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</si>
  <si>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</si>
  <si>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</si>
  <si>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</si>
  <si>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</si>
  <si>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</si>
  <si>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</si>
  <si>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</si>
  <si>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</si>
  <si>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</si>
  <si>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</si>
  <si>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</si>
  <si>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</si>
  <si>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</si>
  <si>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</si>
  <si>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</si>
  <si>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</si>
  <si>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</si>
  <si>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</si>
  <si>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</si>
  <si>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</si>
  <si>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</si>
  <si>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</si>
  <si>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</si>
  <si>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</si>
  <si>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</si>
  <si>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</si>
  <si>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</si>
  <si>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</si>
  <si>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</si>
  <si>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</si>
  <si>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</si>
  <si>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</si>
  <si>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</si>
  <si>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</si>
  <si>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</si>
  <si>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</si>
  <si>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</si>
  <si>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</si>
  <si>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</si>
  <si>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</si>
  <si>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</si>
  <si>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</si>
  <si>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</si>
  <si>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</si>
  <si>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</si>
  <si>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</si>
  <si>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</si>
  <si>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</si>
  <si>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</si>
  <si>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</si>
  <si>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</si>
  <si>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</si>
  <si>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</si>
  <si>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</si>
  <si>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</si>
  <si>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</si>
  <si>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</si>
  <si>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</si>
  <si>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</si>
  <si>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</si>
  <si>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</si>
  <si>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</si>
  <si>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</si>
  <si>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</si>
  <si>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</si>
  <si>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</si>
  <si>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</si>
  <si>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</si>
  <si>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</si>
  <si>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</si>
  <si>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</si>
  <si>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</si>
  <si>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</si>
  <si>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</si>
  <si>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</si>
  <si>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</si>
  <si>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</si>
  <si>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</si>
  <si>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</si>
  <si>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</si>
  <si>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</si>
  <si>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</si>
  <si>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</si>
  <si>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</si>
  <si>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</si>
  <si>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</si>
  <si>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</si>
  <si>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</si>
  <si>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</si>
  <si>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</si>
  <si>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</si>
  <si>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</si>
  <si>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</si>
  <si>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</si>
  <si>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</si>
  <si>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</si>
  <si>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</si>
  <si>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</si>
  <si>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</si>
  <si>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</si>
  <si>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</si>
  <si>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</si>
  <si>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</si>
  <si>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</si>
  <si>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</si>
  <si>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</si>
  <si>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</si>
  <si>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</si>
  <si>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</si>
  <si>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</si>
  <si>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</si>
  <si>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</si>
  <si>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</si>
  <si>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</si>
  <si>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</si>
  <si>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</si>
  <si>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</si>
  <si>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</si>
  <si>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</si>
  <si>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</si>
  <si>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</si>
  <si>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</si>
  <si>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</si>
  <si>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</si>
  <si>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</si>
  <si>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</si>
  <si>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</si>
  <si>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</si>
  <si>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</si>
  <si>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</si>
  <si>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</si>
  <si>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</si>
  <si>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</si>
  <si>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</si>
  <si>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</si>
  <si>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</si>
  <si>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</si>
  <si>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</si>
  <si>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</si>
  <si>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</si>
  <si>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</si>
  <si>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</si>
  <si>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</si>
  <si>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</si>
  <si>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</si>
  <si>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</si>
  <si>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</si>
  <si>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</si>
  <si>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</si>
  <si>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</si>
  <si>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</si>
  <si>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</si>
  <si>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</si>
  <si>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</si>
  <si>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</si>
  <si>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</si>
  <si>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</si>
  <si>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</si>
  <si>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</si>
  <si>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</si>
  <si>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</si>
  <si>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</si>
  <si>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</si>
  <si>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</si>
  <si>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</si>
  <si>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</si>
  <si>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</si>
  <si>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</si>
  <si>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</si>
  <si>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</si>
  <si>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</si>
  <si>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</si>
  <si>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</si>
  <si>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</si>
  <si>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</si>
  <si>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</si>
  <si>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</si>
  <si>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</si>
  <si>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</si>
  <si>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</si>
  <si>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</si>
  <si>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</si>
  <si>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</si>
  <si>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</si>
  <si>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</si>
  <si>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IAM-26</t>
  </si>
  <si>
    <t>IAM-27</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</si>
  <si>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</si>
  <si>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</si>
  <si>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</si>
  <si>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</si>
  <si>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</si>
  <si>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</si>
  <si>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</si>
  <si>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</si>
  <si>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</si>
  <si>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</si>
  <si>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</si>
  <si>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</si>
  <si>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</si>
  <si>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</si>
  <si>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</si>
  <si>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</si>
  <si>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</si>
  <si>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</si>
  <si>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</si>
  <si>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</si>
  <si>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</si>
  <si>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</si>
  <si>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</si>
  <si>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</si>
  <si>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</si>
  <si>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</si>
  <si>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</si>
  <si>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</si>
  <si>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</si>
  <si>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</si>
  <si>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</si>
  <si>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</si>
  <si>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</si>
  <si>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</si>
  <si>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</si>
  <si>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</si>
  <si>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</si>
  <si>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</si>
  <si>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</si>
  <si>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</si>
  <si>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</si>
  <si>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</si>
  <si>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</si>
  <si>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</si>
  <si>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</si>
  <si>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</si>
  <si>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</si>
  <si>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</si>
  <si>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</si>
  <si>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</si>
  <si>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</si>
  <si>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</si>
  <si>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</si>
  <si>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</si>
  <si>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</si>
  <si>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</si>
  <si>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</si>
  <si>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</si>
  <si>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</si>
  <si>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</si>
  <si>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</si>
  <si>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</si>
  <si>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</si>
  <si>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</si>
  <si>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</si>
  <si>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</si>
  <si>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</si>
  <si>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</si>
  <si>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</si>
  <si>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</si>
  <si>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</si>
  <si>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</si>
  <si>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</si>
  <si>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</si>
  <si>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</si>
  <si>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</si>
  <si>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</si>
  <si>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</si>
  <si>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</si>
  <si>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</si>
  <si>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</si>
  <si>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</si>
  <si>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</si>
  <si>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</si>
  <si>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</si>
  <si>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</si>
  <si>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</si>
  <si>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</si>
  <si>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</si>
  <si>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</si>
  <si>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</si>
  <si>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</si>
  <si>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</si>
  <si>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</si>
  <si>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</si>
  <si>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</si>
  <si>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</si>
  <si>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</si>
  <si>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</si>
  <si>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</si>
  <si>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</si>
  <si>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</si>
  <si>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</si>
  <si>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</si>
  <si>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</si>
  <si>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</si>
  <si>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</si>
  <si>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</si>
  <si>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</si>
  <si>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</si>
  <si>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</si>
  <si>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</si>
  <si>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</si>
  <si>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</si>
  <si>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</si>
  <si>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</si>
  <si>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</si>
  <si>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</si>
  <si>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</si>
  <si>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</si>
  <si>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</si>
  <si>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</si>
  <si>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</si>
  <si>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</si>
  <si>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</si>
  <si>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</si>
  <si>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</si>
  <si>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</si>
  <si>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</si>
  <si>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</si>
  <si>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</si>
  <si>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</si>
  <si>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</si>
  <si>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</si>
  <si>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</si>
  <si>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</si>
  <si>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</si>
  <si>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</si>
  <si>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</si>
  <si>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</si>
  <si>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</si>
  <si>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</si>
  <si>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</si>
  <si>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</si>
  <si>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</si>
  <si>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</si>
  <si>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</si>
  <si>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</si>
  <si>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</si>
  <si>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</si>
  <si>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</si>
  <si>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</si>
  <si>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</si>
  <si>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</si>
  <si>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</si>
  <si>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</si>
  <si>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</si>
  <si>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</si>
  <si>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</si>
  <si>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</si>
  <si>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</si>
  <si>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</si>
  <si>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</si>
  <si>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</si>
  <si>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</si>
  <si>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</si>
  <si>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</si>
  <si>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</si>
  <si>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</si>
  <si>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</si>
  <si>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</si>
  <si>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</si>
  <si>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</si>
  <si>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</si>
  <si>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</si>
  <si>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</si>
  <si>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</si>
  <si>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</si>
  <si>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</si>
  <si>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</si>
  <si>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</si>
  <si>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</si>
  <si>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</si>
  <si>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</si>
  <si>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</si>
  <si>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</si>
  <si>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</si>
  <si>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</si>
  <si>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</si>
  <si>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</si>
  <si>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</si>
  <si>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</si>
  <si>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</si>
  <si>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</si>
  <si>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</si>
  <si>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</si>
  <si>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</si>
  <si>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</si>
  <si>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</si>
  <si>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</si>
  <si>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</si>
  <si>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</si>
  <si>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</si>
  <si>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</si>
  <si>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</si>
  <si>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</si>
  <si>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</si>
  <si>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</si>
  <si>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</si>
  <si>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</si>
  <si>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</si>
  <si>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</si>
  <si>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</si>
  <si>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</si>
  <si>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</si>
  <si>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</si>
  <si>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</si>
  <si>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</si>
  <si>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</si>
  <si>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</si>
  <si>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</si>
  <si>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</si>
  <si>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</si>
  <si>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</si>
  <si>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</si>
  <si>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</si>
  <si>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</si>
  <si>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</si>
  <si>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</si>
  <si>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</si>
  <si>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</si>
  <si>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</si>
  <si>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</si>
  <si>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</si>
  <si>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</si>
  <si>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</si>
  <si>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</si>
  <si>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</si>
  <si>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</si>
  <si>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</si>
  <si>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</si>
  <si>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</si>
  <si>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</si>
  <si>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</si>
  <si>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</si>
  <si>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</si>
  <si>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</si>
  <si>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</si>
  <si>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</si>
  <si>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</si>
  <si>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</si>
  <si>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</si>
  <si>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</si>
  <si>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</si>
  <si>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</si>
  <si>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</si>
  <si>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</si>
  <si>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</si>
  <si>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</si>
  <si>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Are employees allowed to take utility's data out of the computing system in any form?</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</si>
  <si>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</si>
  <si>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</si>
  <si>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</si>
  <si>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</si>
  <si>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</si>
  <si>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</si>
  <si>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</si>
  <si>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</si>
  <si>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</si>
  <si>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</si>
  <si>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</si>
  <si>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</si>
  <si>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</si>
  <si>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</si>
  <si>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</si>
  <si>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</si>
  <si>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</si>
  <si>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</si>
  <si>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</si>
  <si>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</si>
  <si>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</si>
  <si>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</si>
  <si>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</si>
  <si>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</si>
  <si>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</si>
  <si>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</si>
  <si>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</si>
  <si>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</si>
  <si>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</si>
  <si>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</si>
  <si>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</si>
  <si>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</si>
  <si>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</si>
  <si>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</si>
  <si>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</si>
  <si>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</si>
  <si>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</si>
  <si>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Document ID:  1394</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</si>
  <si>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</si>
  <si>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</si>
  <si>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</si>
  <si>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</si>
  <si>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</si>
  <si>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</si>
  <si>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</si>
  <si>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 xml:space="preserve">
Supports (44, 45)</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</si>
  <si>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</si>
  <si>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</si>
  <si>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</si>
  <si>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</si>
  <si>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</si>
  <si>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</si>
  <si>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Does your personnel vetting process allow you to share background check criteria and results with utility for confirmation of process or verification of sampled employees?</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</si>
  <si>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</si>
  <si>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</si>
  <si>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</si>
  <si>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</si>
  <si>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</si>
  <si>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</si>
  <si>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</si>
  <si>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</si>
  <si>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</si>
  <si>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Does your information protection program prohibit access to purchaser's data without authorization?</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</si>
  <si>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</si>
  <si>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</si>
  <si>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</si>
  <si>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</si>
  <si>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</si>
  <si>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</si>
  <si>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</si>
  <si>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Is utility unstructured data (e.g., file shares) encrypted?</t>
  </si>
  <si>
    <t>Answer</t>
  </si>
  <si>
    <t>Weight</t>
  </si>
  <si>
    <t>Score</t>
  </si>
  <si>
    <t>Total Score</t>
  </si>
  <si>
    <t>Category Score</t>
  </si>
  <si>
    <t>Copyright © 2023 North American Transmission Forum (“NATF”).  All rights reserved.</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</si>
  <si>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</si>
  <si>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</si>
  <si>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</si>
  <si>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</si>
  <si>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</si>
  <si>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</si>
  <si>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Do you have cybersecurity risk insurance?
If yes, please provide coverage amounts.</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</si>
  <si>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</si>
  <si>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</si>
  <si>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</si>
  <si>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</si>
  <si>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</si>
  <si>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t>Number of Contractors In Countries Other than the United States or Canada</t>
  </si>
  <si>
    <t>Open Distribution for Supply Chain Materials</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</si>
  <si>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</si>
  <si>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Version 4.0</t>
  </si>
  <si>
    <t>Energy Sector Supply Chain Risk Questionnaire</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</si>
  <si>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</si>
  <si>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</si>
  <si>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r>
      <t xml:space="preserve">Energy Sector Supply Chain Risk Questionnaire
</t>
    </r>
    <r>
      <rPr>
        <b/>
        <sz val="16"/>
        <color theme="0" tint="-0.249977111117893"/>
        <rFont val="Verdana"/>
        <family val="2"/>
      </rPr>
      <t>Open Distribution for Supply Chain Materials
Copyright © 2023 North American Transmission Forum, Inc.</t>
    </r>
  </si>
  <si>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and the Revision Process for the Energy Sector Supply Chain Risk Questionnaire and NATF Supply Chain Security Criteria at www.natf.net/industry-initiatives/supply-chain-industry-coordination. </t>
  </si>
  <si>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</si>
  <si>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</si>
  <si>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</si>
  <si>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Do you have controls in place to prevent unauthorized access to any other system through supplier's connection to other systems (i.e., no path or bridge)?</t>
  </si>
  <si>
    <t>Are user account passwords/passphrases/credentials encrypted when in transit and at rest?</t>
  </si>
  <si>
    <t>Do you digitally sign, validate, and provide a way for entities to validate software, patches, and firmware prior to distribution?</t>
  </si>
  <si>
    <t>Are processes in place to handle utility data in both a CUI and a CEII compliant manner?</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</si>
  <si>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</si>
  <si>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</si>
  <si>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</si>
  <si>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</si>
  <si>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</si>
  <si>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</si>
  <si>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</si>
  <si>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</si>
  <si>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</si>
  <si>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</si>
  <si>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</si>
  <si>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</si>
  <si>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r>
      <t xml:space="preserve">Does your cybersecurity program compliant with FISMA standards? Or, in the case of products configured by the utility client, do your products include features and capabilities that are in line with FISMA standards? </t>
    </r>
    <r>
      <rPr>
        <b/>
        <sz val="11"/>
        <rFont val="Verdana"/>
        <family val="2"/>
      </rPr>
      <t>More information on FIMSA</t>
    </r>
    <r>
      <rPr>
        <sz val="11"/>
        <rFont val="Verdana"/>
        <family val="2"/>
      </rPr>
      <t>: http://www.dhs.gov/FISMA</t>
    </r>
  </si>
  <si>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</si>
  <si>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</si>
  <si>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Step 1: Complete each section answering each set of questions. Do NOT provide values in the Answer, Weight, or Score columns - they should remain blank.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Abbreviations and definitions are provided in the NATF Supply Chain Security Criteria.  Defined terms can be found in the NERC Glossary of Terms on the NERC Standards Program Area website or directly at https://www.nerc.com/pa/Stand/Glossary%20of%20Terms/Glossary_of_Terms.pdf.</t>
  </si>
  <si>
    <t>Version: 4.0</t>
  </si>
  <si>
    <t>Approved: 6/2/2023</t>
  </si>
  <si>
    <t>Published
6/2/2023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</si>
</sst>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46"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2"/>
      <color theme="1"/>
      <name val="Calibri"/>
      <family val="2"/>
      <scheme val="minor"/>
    </font>
    <font>
      <b/>
      <sz val="16"/>
      <color theme="0" tint="-0.249977111117893"/>
      <name val="Verdana"/>
      <family val="2"/>
    </font>
    <font>
      <b/>
      <sz val="22"/>
      <color theme="4" tint="-0.499984740745262"/>
      <name val="Calibri Light"/>
      <family val="2"/>
      <scheme val="major"/>
    </font>
    <font>
      <sz val="16"/>
      <color rgb="FFFF0000"/>
      <name val="Calibri"/>
      <family val="2"/>
      <scheme val="minor"/>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b/>
      <sz val="11"/>
      <name val="Verdana"/>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2">
    <xf numFmtId="0" fontId="0" fillId="0" borderId="0" applyNumberFormat="0" applyFill="0" applyBorder="0" applyProtection="0">
      <alignment vertical="top" wrapText="1"/>
    </xf>
    <xf numFmtId="0" fontId="10" fillId="0" borderId="0"/>
    <xf numFmtId="0" fontId="7" fillId="0" borderId="0"/>
    <xf numFmtId="0" fontId="5" fillId="0" borderId="0"/>
    <xf numFmtId="0" fontId="37" fillId="0" borderId="0" applyNumberFormat="0" applyFill="0" applyBorder="0" applyAlignment="0" applyProtection="0">
      <alignment vertical="top" wrapText="1"/>
    </xf>
    <xf numFmtId="0" fontId="4" fillId="0" borderId="0"/>
    <xf numFmtId="0" fontId="4" fillId="0" borderId="0"/>
    <xf numFmtId="0" fontId="3" fillId="0" borderId="0"/>
    <xf numFmtId="0" fontId="3" fillId="0" borderId="0"/>
    <xf numFmtId="0" fontId="23" fillId="0" borderId="0" applyNumberFormat="0" applyFill="0" applyBorder="0" applyProtection="0">
      <alignment vertical="top"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0">
    <xf numFmtId="0" fontId="0" fillId="0" borderId="0" xfId="0">
      <alignment vertical="top" wrapText="1"/>
    </xf>
    <xf numFmtId="0" fontId="13" fillId="0" borderId="0" xfId="0" applyNumberFormat="1" applyFont="1" applyAlignment="1"/>
    <xf numFmtId="0" fontId="17" fillId="4" borderId="1"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21" fillId="8" borderId="1" xfId="0" applyFont="1" applyFill="1" applyBorder="1" applyAlignment="1">
      <alignment vertical="center" wrapText="1"/>
    </xf>
    <xf numFmtId="0" fontId="13" fillId="0" borderId="0" xfId="0" applyNumberFormat="1" applyFont="1" applyAlignment="1">
      <alignment horizontal="center" vertical="center"/>
    </xf>
    <xf numFmtId="0" fontId="13" fillId="0" borderId="0" xfId="0" applyNumberFormat="1" applyFont="1" applyAlignment="1">
      <alignment wrapText="1"/>
    </xf>
    <xf numFmtId="0" fontId="19" fillId="0" borderId="0" xfId="0" applyNumberFormat="1" applyFont="1" applyBorder="1" applyAlignment="1">
      <alignment wrapText="1"/>
    </xf>
    <xf numFmtId="0" fontId="13" fillId="2" borderId="4" xfId="0" applyFont="1" applyFill="1" applyBorder="1" applyAlignment="1">
      <alignment vertical="center" wrapText="1"/>
    </xf>
    <xf numFmtId="0" fontId="0" fillId="2" borderId="0" xfId="0" applyFill="1" applyBorder="1" applyAlignment="1">
      <alignment vertical="top"/>
    </xf>
    <xf numFmtId="0" fontId="13" fillId="2" borderId="0" xfId="0" applyFont="1" applyFill="1" applyBorder="1" applyAlignment="1">
      <alignment vertical="center"/>
    </xf>
    <xf numFmtId="0" fontId="23" fillId="2" borderId="0" xfId="0" applyFont="1" applyFill="1" applyBorder="1" applyAlignment="1">
      <alignment vertical="center" wrapText="1"/>
    </xf>
    <xf numFmtId="0" fontId="25" fillId="7" borderId="1" xfId="0" applyFont="1" applyFill="1" applyBorder="1" applyAlignment="1">
      <alignment vertical="center" wrapText="1"/>
    </xf>
    <xf numFmtId="0" fontId="24" fillId="3" borderId="1" xfId="0" applyNumberFormat="1" applyFont="1" applyFill="1" applyBorder="1" applyAlignment="1">
      <alignment vertical="center" wrapText="1"/>
    </xf>
    <xf numFmtId="1" fontId="24" fillId="3" borderId="1" xfId="0" applyNumberFormat="1" applyFont="1" applyFill="1" applyBorder="1" applyAlignment="1">
      <alignment vertical="center" wrapText="1"/>
    </xf>
    <xf numFmtId="0" fontId="24" fillId="7" borderId="1" xfId="0" applyFont="1" applyFill="1" applyBorder="1" applyAlignment="1">
      <alignment vertical="center" wrapText="1"/>
    </xf>
    <xf numFmtId="0" fontId="24" fillId="10"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14" fillId="10" borderId="1" xfId="0" applyNumberFormat="1" applyFont="1" applyFill="1" applyBorder="1" applyAlignment="1">
      <alignment vertical="center" wrapText="1"/>
    </xf>
    <xf numFmtId="0" fontId="27" fillId="3" borderId="1" xfId="0" applyNumberFormat="1" applyFont="1" applyFill="1" applyBorder="1" applyAlignment="1">
      <alignment horizontal="left" vertical="center" wrapText="1"/>
    </xf>
    <xf numFmtId="0" fontId="24" fillId="2" borderId="1" xfId="0" applyNumberFormat="1" applyFont="1" applyFill="1" applyBorder="1" applyAlignment="1">
      <alignment vertical="center" wrapText="1"/>
    </xf>
    <xf numFmtId="1" fontId="24" fillId="0" borderId="1" xfId="0" applyNumberFormat="1" applyFont="1" applyFill="1" applyBorder="1" applyAlignment="1">
      <alignment vertical="center" wrapText="1"/>
    </xf>
    <xf numFmtId="0" fontId="24" fillId="2" borderId="4" xfId="0" applyFont="1" applyFill="1" applyBorder="1" applyAlignment="1">
      <alignment vertical="center" wrapText="1"/>
    </xf>
    <xf numFmtId="0" fontId="27"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24" fillId="0" borderId="1" xfId="0" applyNumberFormat="1" applyFont="1" applyFill="1" applyBorder="1" applyAlignment="1">
      <alignment vertical="center" wrapText="1"/>
    </xf>
    <xf numFmtId="0" fontId="27" fillId="0" borderId="1" xfId="0" applyNumberFormat="1" applyFont="1" applyFill="1" applyBorder="1" applyAlignment="1">
      <alignment vertical="center" wrapText="1"/>
    </xf>
    <xf numFmtId="0" fontId="13" fillId="2" borderId="5" xfId="0" applyFont="1" applyFill="1" applyBorder="1" applyAlignment="1">
      <alignment vertical="center"/>
    </xf>
    <xf numFmtId="0" fontId="12" fillId="9" borderId="1" xfId="0" applyNumberFormat="1" applyFont="1" applyFill="1" applyBorder="1" applyAlignment="1">
      <alignment horizontal="left" vertical="center" wrapText="1"/>
    </xf>
    <xf numFmtId="0" fontId="13" fillId="0" borderId="0" xfId="0" applyNumberFormat="1" applyFont="1" applyAlignment="1">
      <alignment horizontal="left" vertical="center"/>
    </xf>
    <xf numFmtId="0" fontId="13" fillId="2" borderId="0" xfId="0" applyNumberFormat="1" applyFont="1" applyFill="1" applyBorder="1" applyAlignment="1">
      <alignment horizontal="left" vertical="center"/>
    </xf>
    <xf numFmtId="0" fontId="13" fillId="2" borderId="6" xfId="0" applyNumberFormat="1" applyFont="1" applyFill="1" applyBorder="1" applyAlignment="1">
      <alignment horizontal="left" vertical="center"/>
    </xf>
    <xf numFmtId="0" fontId="24" fillId="3" borderId="1" xfId="0" applyNumberFormat="1" applyFont="1" applyFill="1" applyBorder="1" applyAlignment="1">
      <alignment horizontal="left" vertical="center" wrapText="1"/>
    </xf>
    <xf numFmtId="0" fontId="24" fillId="2" borderId="1" xfId="0" applyNumberFormat="1" applyFont="1" applyFill="1" applyBorder="1" applyAlignment="1">
      <alignment horizontal="left" vertical="center" wrapText="1"/>
    </xf>
    <xf numFmtId="0"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24" fillId="8" borderId="1" xfId="0" applyFont="1" applyFill="1" applyBorder="1" applyAlignment="1">
      <alignment vertical="center" wrapText="1"/>
    </xf>
    <xf numFmtId="0" fontId="24"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2" fillId="0" borderId="0" xfId="0" applyFont="1" applyAlignment="1"/>
    <xf numFmtId="0" fontId="32" fillId="0" borderId="0" xfId="1" applyFont="1"/>
    <xf numFmtId="0" fontId="10" fillId="0" borderId="0" xfId="1"/>
    <xf numFmtId="0" fontId="10" fillId="0" borderId="7" xfId="1" applyBorder="1" applyAlignment="1">
      <alignment horizontal="left" wrapText="1"/>
    </xf>
    <xf numFmtId="0" fontId="10" fillId="0" borderId="8" xfId="1" applyBorder="1" applyAlignment="1">
      <alignment horizontal="left" wrapText="1"/>
    </xf>
    <xf numFmtId="14" fontId="10" fillId="0" borderId="9" xfId="1" applyNumberFormat="1" applyBorder="1" applyAlignment="1">
      <alignment horizontal="left" wrapText="1"/>
    </xf>
    <xf numFmtId="0" fontId="10" fillId="0" borderId="10" xfId="1" applyBorder="1" applyAlignment="1">
      <alignment horizontal="center" wrapText="1"/>
    </xf>
    <xf numFmtId="0" fontId="10" fillId="0" borderId="10" xfId="1" applyBorder="1" applyAlignment="1">
      <alignment horizontal="left" wrapText="1"/>
    </xf>
    <xf numFmtId="0" fontId="24" fillId="0" borderId="1" xfId="0" applyFont="1" applyFill="1" applyBorder="1" applyAlignment="1">
      <alignment vertical="center" wrapText="1"/>
    </xf>
    <xf numFmtId="0" fontId="24" fillId="3" borderId="1" xfId="0" applyFont="1" applyFill="1" applyBorder="1" applyAlignment="1">
      <alignment vertical="center" wrapText="1"/>
    </xf>
    <xf numFmtId="0" fontId="9" fillId="0" borderId="8" xfId="1" applyFont="1" applyBorder="1" applyAlignment="1">
      <alignment horizontal="left" wrapText="1"/>
    </xf>
    <xf numFmtId="0" fontId="8" fillId="0" borderId="10" xfId="1" applyFont="1" applyBorder="1" applyAlignment="1">
      <alignment horizontal="left" wrapText="1"/>
    </xf>
    <xf numFmtId="1" fontId="30" fillId="2" borderId="1" xfId="0" applyNumberFormat="1" applyFont="1" applyFill="1" applyBorder="1" applyAlignment="1">
      <alignment vertical="center" wrapText="1"/>
    </xf>
    <xf numFmtId="1" fontId="30" fillId="10" borderId="1" xfId="0" applyNumberFormat="1" applyFont="1" applyFill="1" applyBorder="1" applyAlignment="1">
      <alignment vertical="center" wrapText="1"/>
    </xf>
    <xf numFmtId="0" fontId="30" fillId="2" borderId="1" xfId="0" applyNumberFormat="1" applyFont="1" applyFill="1" applyBorder="1" applyAlignment="1">
      <alignment vertical="center" wrapText="1"/>
    </xf>
    <xf numFmtId="0" fontId="30" fillId="11" borderId="1" xfId="0" applyFont="1" applyFill="1" applyBorder="1" applyAlignment="1">
      <alignment vertical="center" wrapText="1"/>
    </xf>
    <xf numFmtId="0" fontId="30" fillId="2" borderId="1" xfId="0" applyFont="1" applyFill="1" applyBorder="1" applyAlignment="1">
      <alignment vertical="center" wrapText="1"/>
    </xf>
    <xf numFmtId="165" fontId="6" fillId="0" borderId="10" xfId="1" applyNumberFormat="1" applyFont="1" applyBorder="1" applyAlignment="1">
      <alignment horizontal="center" vertical="top" wrapText="1"/>
    </xf>
    <xf numFmtId="0" fontId="24" fillId="2" borderId="0" xfId="0" applyFont="1" applyFill="1" applyBorder="1" applyAlignment="1">
      <alignment vertical="center"/>
    </xf>
    <xf numFmtId="0" fontId="25" fillId="0" borderId="0" xfId="0" applyFont="1">
      <alignment vertical="top" wrapText="1"/>
    </xf>
    <xf numFmtId="165" fontId="10" fillId="0" borderId="10" xfId="1" applyNumberFormat="1" applyBorder="1" applyAlignment="1">
      <alignment horizontal="center" wrapText="1"/>
    </xf>
    <xf numFmtId="0" fontId="20" fillId="0" borderId="0" xfId="0" applyNumberFormat="1" applyFont="1" applyAlignment="1"/>
    <xf numFmtId="14" fontId="32" fillId="0" borderId="9" xfId="1" applyNumberFormat="1" applyFont="1" applyBorder="1" applyAlignment="1">
      <alignment horizontal="left" vertical="top" wrapText="1"/>
    </xf>
    <xf numFmtId="14" fontId="36" fillId="0" borderId="0" xfId="7" applyNumberFormat="1" applyFont="1" applyAlignment="1">
      <alignment horizontal="left" vertical="top" wrapText="1"/>
    </xf>
    <xf numFmtId="0" fontId="39" fillId="2" borderId="1" xfId="0" applyFont="1" applyFill="1" applyBorder="1" applyAlignment="1">
      <alignment vertical="center" wrapText="1"/>
    </xf>
    <xf numFmtId="0" fontId="39" fillId="2" borderId="1" xfId="0" applyNumberFormat="1" applyFont="1" applyFill="1" applyBorder="1" applyAlignment="1">
      <alignment vertical="center" wrapText="1"/>
    </xf>
    <xf numFmtId="165" fontId="32" fillId="0" borderId="10" xfId="1" applyNumberFormat="1" applyFont="1" applyBorder="1" applyAlignment="1">
      <alignment horizontal="center" vertical="top" wrapText="1"/>
    </xf>
    <xf numFmtId="0" fontId="12" fillId="9" borderId="11" xfId="0" applyNumberFormat="1" applyFont="1" applyFill="1" applyBorder="1" applyAlignment="1">
      <alignment horizontal="center" vertical="center" wrapText="1"/>
    </xf>
    <xf numFmtId="0" fontId="12" fillId="9" borderId="12" xfId="0" applyNumberFormat="1" applyFont="1" applyFill="1" applyBorder="1" applyAlignment="1">
      <alignment horizontal="center" vertical="center" wrapText="1"/>
    </xf>
    <xf numFmtId="0" fontId="12" fillId="9" borderId="6" xfId="0" applyNumberFormat="1" applyFont="1" applyFill="1" applyBorder="1" applyAlignment="1">
      <alignment horizontal="center" vertical="center"/>
    </xf>
    <xf numFmtId="0" fontId="40" fillId="0" borderId="13"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40" fillId="0" borderId="5" xfId="0" applyNumberFormat="1" applyFont="1" applyFill="1" applyBorder="1" applyAlignment="1">
      <alignment horizontal="center" vertical="center"/>
    </xf>
    <xf numFmtId="0" fontId="40" fillId="4" borderId="13" xfId="0" applyNumberFormat="1" applyFont="1" applyFill="1" applyBorder="1" applyAlignment="1">
      <alignment horizontal="center" vertical="center"/>
    </xf>
    <xf numFmtId="0" fontId="40" fillId="4" borderId="0" xfId="0" applyNumberFormat="1" applyFont="1" applyFill="1" applyBorder="1" applyAlignment="1">
      <alignment horizontal="center" vertical="center"/>
    </xf>
    <xf numFmtId="0" fontId="40" fillId="4" borderId="5" xfId="0" applyNumberFormat="1" applyFont="1" applyFill="1" applyBorder="1" applyAlignment="1">
      <alignment horizontal="center" vertical="center"/>
    </xf>
    <xf numFmtId="0" fontId="40" fillId="5" borderId="13" xfId="0" applyNumberFormat="1" applyFont="1" applyFill="1" applyBorder="1" applyAlignment="1">
      <alignment horizontal="center" vertical="center"/>
    </xf>
    <xf numFmtId="0" fontId="40" fillId="5" borderId="0"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0" fillId="13" borderId="1" xfId="0" applyNumberFormat="1" applyFont="1" applyFill="1" applyBorder="1" applyAlignment="1">
      <alignment horizontal="center" vertical="center"/>
    </xf>
    <xf numFmtId="0" fontId="40" fillId="0" borderId="1" xfId="0" applyNumberFormat="1" applyFont="1" applyFill="1" applyBorder="1" applyAlignment="1">
      <alignment horizontal="center" vertical="center"/>
    </xf>
    <xf numFmtId="0" fontId="42" fillId="0" borderId="5" xfId="0" applyNumberFormat="1" applyFont="1" applyFill="1" applyBorder="1" applyAlignment="1">
      <alignment horizontal="center" vertical="center"/>
    </xf>
    <xf numFmtId="0" fontId="40" fillId="13" borderId="2" xfId="0" applyNumberFormat="1" applyFont="1" applyFill="1" applyBorder="1" applyAlignment="1">
      <alignment horizontal="center" vertical="center"/>
    </xf>
    <xf numFmtId="0" fontId="40" fillId="0" borderId="0" xfId="0" applyNumberFormat="1" applyFont="1" applyAlignment="1">
      <alignment horizontal="center" vertical="center"/>
    </xf>
    <xf numFmtId="0" fontId="40" fillId="0" borderId="0" xfId="0" applyNumberFormat="1" applyFont="1" applyFill="1" applyAlignment="1">
      <alignment horizontal="center" vertical="center"/>
    </xf>
    <xf numFmtId="0" fontId="23" fillId="0" borderId="0" xfId="9">
      <alignment vertical="top" wrapText="1"/>
    </xf>
    <xf numFmtId="0" fontId="33" fillId="0" borderId="0" xfId="9" applyFont="1" applyAlignment="1"/>
    <xf numFmtId="0" fontId="23" fillId="0" borderId="0" xfId="9" applyAlignment="1">
      <alignment horizontal="justify" vertical="center"/>
    </xf>
    <xf numFmtId="0" fontId="32" fillId="0" borderId="10" xfId="1" applyFont="1" applyBorder="1" applyAlignment="1">
      <alignment horizontal="center" wrapText="1"/>
    </xf>
    <xf numFmtId="14" fontId="32" fillId="0" borderId="9" xfId="1" applyNumberFormat="1" applyFont="1" applyBorder="1" applyAlignment="1">
      <alignment horizontal="left" wrapText="1"/>
    </xf>
    <xf numFmtId="0" fontId="32" fillId="0" borderId="10" xfId="1" applyFont="1" applyBorder="1" applyAlignment="1">
      <alignment horizontal="left" wrapText="1"/>
    </xf>
    <xf numFmtId="0" fontId="32" fillId="0" borderId="8" xfId="1" applyFont="1" applyBorder="1" applyAlignment="1">
      <alignment horizontal="left" wrapText="1"/>
    </xf>
    <xf numFmtId="0" fontId="43" fillId="0" borderId="0" xfId="0" applyFont="1" applyAlignment="1"/>
    <xf numFmtId="165" fontId="32" fillId="0" borderId="10" xfId="1" applyNumberFormat="1" applyFont="1" applyBorder="1" applyAlignment="1">
      <alignment horizontal="center" wrapText="1"/>
    </xf>
    <xf numFmtId="0" fontId="32" fillId="0" borderId="7" xfId="1" applyFont="1" applyBorder="1" applyAlignment="1">
      <alignment horizontal="left" wrapText="1"/>
    </xf>
    <xf numFmtId="0" fontId="32" fillId="0" borderId="10" xfId="1" applyFont="1" applyBorder="1" applyAlignment="1">
      <alignment horizontal="left" vertical="top" wrapText="1"/>
    </xf>
    <xf numFmtId="0" fontId="12" fillId="9" borderId="1" xfId="0" applyNumberFormat="1" applyFont="1" applyFill="1" applyBorder="1" applyAlignment="1">
      <alignment horizontal="center" vertical="center" wrapText="1"/>
    </xf>
    <xf numFmtId="14" fontId="36" fillId="0" borderId="0" xfId="30" applyNumberFormat="1" applyFont="1" applyAlignment="1">
      <alignment horizontal="left" vertical="top" wrapText="1"/>
    </xf>
    <xf numFmtId="0" fontId="31" fillId="0" borderId="0" xfId="0" applyFont="1" applyAlignment="1">
      <alignment horizontal="left" vertical="center" wrapText="1"/>
    </xf>
    <xf numFmtId="0" fontId="35" fillId="0" borderId="0" xfId="0" applyFont="1" applyAlignment="1">
      <alignment horizontal="left" wrapText="1"/>
    </xf>
    <xf numFmtId="0" fontId="31" fillId="0" borderId="0" xfId="9" applyFont="1" applyAlignment="1">
      <alignment horizontal="left" vertical="center"/>
    </xf>
    <xf numFmtId="0" fontId="31" fillId="0" borderId="0" xfId="9" applyFont="1" applyAlignment="1">
      <alignment horizontal="left" vertical="center" wrapText="1"/>
    </xf>
    <xf numFmtId="0" fontId="44" fillId="0" borderId="0" xfId="0" applyFont="1" applyAlignment="1">
      <alignment horizontal="left" wrapText="1"/>
    </xf>
    <xf numFmtId="0" fontId="17" fillId="4" borderId="13" xfId="0" applyNumberFormat="1" applyFont="1" applyFill="1" applyBorder="1" applyAlignment="1">
      <alignment horizontal="center" vertical="center"/>
    </xf>
    <xf numFmtId="0" fontId="17" fillId="4" borderId="0" xfId="0" applyNumberFormat="1" applyFont="1" applyFill="1" applyBorder="1" applyAlignment="1">
      <alignment horizontal="center" vertical="center"/>
    </xf>
    <xf numFmtId="0" fontId="17" fillId="12" borderId="1" xfId="0" applyNumberFormat="1" applyFont="1" applyFill="1" applyBorder="1" applyAlignment="1">
      <alignment horizontal="center" vertical="center"/>
    </xf>
    <xf numFmtId="0" fontId="24" fillId="3" borderId="1" xfId="0" applyNumberFormat="1"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0" borderId="4" xfId="0" applyNumberFormat="1" applyFont="1" applyFill="1" applyBorder="1" applyAlignment="1">
      <alignment horizontal="left" vertical="center" wrapText="1"/>
    </xf>
    <xf numFmtId="0" fontId="29" fillId="0" borderId="2" xfId="0" applyNumberFormat="1" applyFont="1" applyFill="1" applyBorder="1" applyAlignment="1">
      <alignment vertical="center" wrapText="1"/>
    </xf>
    <xf numFmtId="0" fontId="29" fillId="0" borderId="3" xfId="0" applyNumberFormat="1" applyFont="1" applyFill="1" applyBorder="1" applyAlignment="1">
      <alignment vertical="center" wrapText="1"/>
    </xf>
    <xf numFmtId="0" fontId="29" fillId="0" borderId="4" xfId="0" applyNumberFormat="1" applyFont="1" applyFill="1" applyBorder="1" applyAlignment="1">
      <alignmen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17" fillId="4" borderId="1" xfId="0" applyNumberFormat="1" applyFont="1" applyFill="1" applyBorder="1" applyAlignment="1">
      <alignment horizontal="left" vertical="center" wrapText="1"/>
    </xf>
    <xf numFmtId="0" fontId="24" fillId="3" borderId="2" xfId="0" applyNumberFormat="1" applyFont="1" applyFill="1" applyBorder="1" applyAlignment="1">
      <alignment horizontal="center" vertical="center" wrapText="1"/>
    </xf>
    <xf numFmtId="0" fontId="24" fillId="3" borderId="3" xfId="0" applyNumberFormat="1" applyFont="1" applyFill="1" applyBorder="1" applyAlignment="1">
      <alignment horizontal="center" vertical="center" wrapText="1"/>
    </xf>
    <xf numFmtId="1" fontId="24" fillId="3" borderId="2" xfId="0" applyNumberFormat="1"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1" fontId="24" fillId="3" borderId="4"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11" fillId="9" borderId="1" xfId="0" applyNumberFormat="1" applyFont="1" applyFill="1" applyBorder="1" applyAlignment="1">
      <alignment horizontal="left" vertical="center" wrapText="1"/>
    </xf>
    <xf numFmtId="0" fontId="22" fillId="0" borderId="0" xfId="0" applyFont="1" applyBorder="1" applyAlignment="1">
      <alignment vertical="center" wrapText="1"/>
    </xf>
    <xf numFmtId="0" fontId="13" fillId="2" borderId="0" xfId="0" applyFont="1" applyFill="1" applyBorder="1" applyAlignment="1">
      <alignment vertical="center"/>
    </xf>
    <xf numFmtId="0" fontId="18" fillId="6" borderId="2" xfId="0" applyNumberFormat="1" applyFont="1" applyFill="1" applyBorder="1" applyAlignment="1">
      <alignment horizontal="left" vertical="center" wrapText="1"/>
    </xf>
    <xf numFmtId="0" fontId="18" fillId="6" borderId="3" xfId="0" applyNumberFormat="1" applyFont="1" applyFill="1" applyBorder="1" applyAlignment="1">
      <alignment horizontal="left" vertical="center" wrapText="1"/>
    </xf>
    <xf numFmtId="0" fontId="18" fillId="6" borderId="4" xfId="0" applyNumberFormat="1" applyFont="1" applyFill="1" applyBorder="1" applyAlignment="1">
      <alignment horizontal="left" vertical="center" wrapText="1"/>
    </xf>
    <xf numFmtId="164" fontId="16" fillId="3" borderId="2" xfId="0" applyNumberFormat="1" applyFont="1" applyFill="1" applyBorder="1" applyAlignment="1">
      <alignment horizontal="left" vertical="center" wrapText="1"/>
    </xf>
    <xf numFmtId="164" fontId="16" fillId="3" borderId="3" xfId="0" applyNumberFormat="1" applyFont="1" applyFill="1" applyBorder="1" applyAlignment="1">
      <alignment horizontal="left" vertical="center" wrapText="1"/>
    </xf>
    <xf numFmtId="164" fontId="16" fillId="3" borderId="4" xfId="0" applyNumberFormat="1" applyFont="1" applyFill="1" applyBorder="1" applyAlignment="1">
      <alignment horizontal="left" vertical="center" wrapText="1"/>
    </xf>
    <xf numFmtId="0" fontId="25" fillId="5" borderId="2" xfId="0" applyNumberFormat="1" applyFont="1" applyFill="1" applyBorder="1" applyAlignment="1">
      <alignment horizontal="left" vertical="center" wrapText="1"/>
    </xf>
    <xf numFmtId="0" fontId="25" fillId="5" borderId="3" xfId="0" applyNumberFormat="1" applyFont="1" applyFill="1" applyBorder="1" applyAlignment="1">
      <alignment horizontal="left" vertical="center" wrapText="1"/>
    </xf>
    <xf numFmtId="0" fontId="25" fillId="5" borderId="4" xfId="0" applyNumberFormat="1" applyFont="1" applyFill="1" applyBorder="1" applyAlignment="1">
      <alignment horizontal="left" vertical="center" wrapText="1"/>
    </xf>
    <xf numFmtId="0" fontId="17" fillId="4" borderId="2" xfId="0" applyNumberFormat="1" applyFont="1" applyFill="1" applyBorder="1" applyAlignment="1">
      <alignment horizontal="left" vertical="center" wrapText="1"/>
    </xf>
    <xf numFmtId="0" fontId="17" fillId="4" borderId="3" xfId="0" applyNumberFormat="1" applyFont="1" applyFill="1" applyBorder="1" applyAlignment="1">
      <alignment horizontal="left" vertical="center" wrapText="1"/>
    </xf>
    <xf numFmtId="0" fontId="17" fillId="4" borderId="4"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5" fillId="2" borderId="3" xfId="0" applyNumberFormat="1" applyFont="1" applyFill="1" applyBorder="1" applyAlignment="1">
      <alignment horizontal="right" vertical="center" wrapText="1"/>
    </xf>
    <xf numFmtId="0" fontId="15" fillId="2" borderId="4" xfId="0" applyNumberFormat="1" applyFont="1" applyFill="1" applyBorder="1" applyAlignment="1">
      <alignment horizontal="right" vertical="center" wrapText="1"/>
    </xf>
    <xf numFmtId="0" fontId="24" fillId="7" borderId="1" xfId="0" applyFont="1" applyFill="1" applyBorder="1" applyAlignment="1">
      <alignment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cellXfs>
  <cellStyles count="32">
    <cellStyle name="Hyperlink 2" xfId="4" xr:uid="{9F0E0A36-5624-45CF-B333-2C5AF336D0CB}"/>
    <cellStyle name="Normal" xfId="0" builtinId="0"/>
    <cellStyle name="Normal 2" xfId="9" xr:uid="{64DE6FB7-F08F-4AF0-92C4-B2D7191B5AFB}"/>
    <cellStyle name="Normal 3" xfId="1" xr:uid="{2AC8ADC4-B574-4048-8F25-6C4814CE3854}"/>
    <cellStyle name="Normal 3 2" xfId="2" xr:uid="{4FDE45D8-B2D6-4DF5-810D-A1C80F2C2624}"/>
    <cellStyle name="Normal 3 2 2" xfId="6" xr:uid="{DD0371F2-D819-4F76-AF01-DE6973D89054}"/>
    <cellStyle name="Normal 3 2 2 2" xfId="22" xr:uid="{AD511478-DE4E-4594-AA2B-053D3CF14699}"/>
    <cellStyle name="Normal 3 2 2 3" xfId="29" xr:uid="{2E34329F-AF16-46E8-88A3-844A9C85B18F}"/>
    <cellStyle name="Normal 3 2 2 4" xfId="15" xr:uid="{AF92F15E-038A-4B0D-A506-E17CB7FB03B1}"/>
    <cellStyle name="Normal 3 2 3" xfId="8" xr:uid="{7FBFD532-9AD9-49B9-816A-D792BBAEDDC1}"/>
    <cellStyle name="Normal 3 2 3 2" xfId="24" xr:uid="{D9CBB665-65FE-401C-BE1D-6F0E01AEA624}"/>
    <cellStyle name="Normal 3 2 3 3" xfId="31" xr:uid="{AF54D02E-D4FC-48D3-A621-B99D492A2561}"/>
    <cellStyle name="Normal 3 2 3 4" xfId="17" xr:uid="{06F1184E-9572-478D-BE86-152A546E0406}"/>
    <cellStyle name="Normal 3 2 4" xfId="19" xr:uid="{1CEBA441-CD3B-4230-9845-6E68CD385C6A}"/>
    <cellStyle name="Normal 3 2 5" xfId="26" xr:uid="{DC30ED0B-133D-45A0-A094-FCB1B712C30E}"/>
    <cellStyle name="Normal 3 2 6" xfId="12" xr:uid="{C60E17C6-8FA9-4824-884C-0A8F579FCBF6}"/>
    <cellStyle name="Normal 3 3" xfId="3" xr:uid="{E0647A80-D5D8-4315-A031-9DB9C6F8ED5D}"/>
    <cellStyle name="Normal 3 3 2" xfId="10" xr:uid="{FC852060-71B4-499C-B1C0-58EB48410F18}"/>
    <cellStyle name="Normal 3 3 2 2" xfId="20" xr:uid="{82B32A4B-45D8-4455-BB2D-2E2F15FB1F81}"/>
    <cellStyle name="Normal 3 3 3" xfId="27" xr:uid="{578C2477-1305-40E2-89B4-612DEC3DF26A}"/>
    <cellStyle name="Normal 3 3 4" xfId="13" xr:uid="{F88BB24C-3B0A-49A3-A27C-95DFBC034ED8}"/>
    <cellStyle name="Normal 3 4" xfId="5" xr:uid="{17C121DB-468B-415C-AC0B-FDBEEE65BDF4}"/>
    <cellStyle name="Normal 3 4 2" xfId="21" xr:uid="{29809A88-8033-419E-B0F9-9FCB2594E779}"/>
    <cellStyle name="Normal 3 4 3" xfId="28" xr:uid="{F4E57804-C852-41B2-9291-1D602B9BE2A4}"/>
    <cellStyle name="Normal 3 4 4" xfId="14" xr:uid="{4568E092-B1D7-47FF-9B03-F9CD0DA0EABE}"/>
    <cellStyle name="Normal 3 5" xfId="7" xr:uid="{E2458971-F50D-438A-8CA1-2304CE67FB45}"/>
    <cellStyle name="Normal 3 5 2" xfId="23" xr:uid="{4FE791FD-49E5-40DB-A6B0-8F4DE31500C9}"/>
    <cellStyle name="Normal 3 5 3" xfId="30" xr:uid="{88B18014-CD4C-4303-8DAC-E5897AF80D94}"/>
    <cellStyle name="Normal 3 5 4" xfId="16" xr:uid="{48123D96-06E5-41E1-B66F-32218739E9B2}"/>
    <cellStyle name="Normal 3 6" xfId="18" xr:uid="{B2D51DDF-8289-42E9-AABC-9D0ED225DE61}"/>
    <cellStyle name="Normal 3 7" xfId="25" xr:uid="{CE1C5928-D5C7-43C7-8FC1-F883DAF99A6E}"/>
    <cellStyle name="Normal 3 8" xfId="11" xr:uid="{4A3734D3-44CC-4776-9565-0FFA522E126C}"/>
  </cellStyles>
  <dxfs count="2">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118</v>
      </c>
      <c r="C1" t="s">
        <v>118</v>
      </c>
    </row>
    <row r="2" spans="1:3" x14ac:dyDescent="0.2">
      <c r="A2" t="s">
        <v>119</v>
      </c>
      <c r="C2" t="s">
        <v>119</v>
      </c>
    </row>
    <row r="3" spans="1:3" ht="21" customHeight="1" x14ac:dyDescent="0.2">
      <c r="C3" t="s">
        <v>120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tabSelected="1" zoomScaleNormal="100" workbookViewId="0">
      <selection activeCell="A6" sqref="A6:C6"/>
    </sheetView>
  </sheetViews>
  <sheetFormatPr defaultColWidth="8.59765625" defaultRowHeight="15" x14ac:dyDescent="0.2"/>
  <cols>
    <col min="1" max="1" width="19.3984375" style="43" customWidth="1"/>
    <col min="2" max="2" width="8.69921875" style="42"/>
    <col min="3" max="3" width="58.5" style="43" customWidth="1"/>
  </cols>
  <sheetData>
    <row r="1" spans="1:3" ht="21" x14ac:dyDescent="0.2">
      <c r="C1" s="102"/>
    </row>
    <row r="6" spans="1:3" ht="59.25" customHeight="1" x14ac:dyDescent="0.45">
      <c r="A6" s="104" t="s">
        <v>646</v>
      </c>
      <c r="B6" s="104"/>
      <c r="C6" s="104"/>
    </row>
    <row r="7" spans="1:3" ht="15.75" x14ac:dyDescent="0.25">
      <c r="A7" s="44" t="s">
        <v>674</v>
      </c>
    </row>
    <row r="8" spans="1:3" ht="15.75" x14ac:dyDescent="0.25">
      <c r="A8" s="44" t="s">
        <v>675</v>
      </c>
    </row>
    <row r="9" spans="1:3" ht="15.75" x14ac:dyDescent="0.25">
      <c r="A9" s="44" t="s">
        <v>590</v>
      </c>
    </row>
    <row r="10" spans="1:3" ht="15.75" x14ac:dyDescent="0.25">
      <c r="A10" s="44"/>
    </row>
    <row r="12" spans="1:3" ht="15.75" x14ac:dyDescent="0.25">
      <c r="A12" s="91" t="s">
        <v>643</v>
      </c>
      <c r="B12" s="90"/>
      <c r="C12" s="90"/>
    </row>
    <row r="13" spans="1:3" x14ac:dyDescent="0.2">
      <c r="A13" s="105" t="s">
        <v>629</v>
      </c>
      <c r="B13" s="105"/>
      <c r="C13" s="105"/>
    </row>
    <row r="14" spans="1:3" x14ac:dyDescent="0.2">
      <c r="A14" s="92"/>
      <c r="B14" s="90"/>
      <c r="C14" s="90"/>
    </row>
    <row r="15" spans="1:3" ht="22.5" customHeight="1" x14ac:dyDescent="0.2">
      <c r="A15" s="106" t="s">
        <v>644</v>
      </c>
      <c r="B15" s="106"/>
      <c r="C15" s="106"/>
    </row>
    <row r="16" spans="1:3" x14ac:dyDescent="0.2">
      <c r="A16" s="103"/>
      <c r="B16" s="103"/>
      <c r="C16" s="103"/>
    </row>
    <row r="17" spans="1:3" ht="15.75" thickBot="1" x14ac:dyDescent="0.3">
      <c r="A17" s="45" t="s">
        <v>577</v>
      </c>
      <c r="B17" s="46"/>
      <c r="C17" s="46"/>
    </row>
    <row r="18" spans="1:3" ht="15.75" thickBot="1" x14ac:dyDescent="0.3">
      <c r="A18" s="47" t="s">
        <v>578</v>
      </c>
      <c r="B18" s="48" t="s">
        <v>579</v>
      </c>
      <c r="C18" s="54" t="s">
        <v>588</v>
      </c>
    </row>
    <row r="19" spans="1:3" ht="15.75" thickBot="1" x14ac:dyDescent="0.3">
      <c r="A19" s="49">
        <v>43958</v>
      </c>
      <c r="B19" s="64">
        <v>1</v>
      </c>
      <c r="C19" s="51" t="s">
        <v>591</v>
      </c>
    </row>
    <row r="20" spans="1:3" ht="15.75" thickBot="1" x14ac:dyDescent="0.3">
      <c r="A20" s="49">
        <v>44095</v>
      </c>
      <c r="B20" s="50">
        <v>1.1000000000000001</v>
      </c>
      <c r="C20" s="55" t="s">
        <v>592</v>
      </c>
    </row>
    <row r="21" spans="1:3" ht="15.75" thickBot="1" x14ac:dyDescent="0.25">
      <c r="A21" s="66">
        <v>44351</v>
      </c>
      <c r="B21" s="61">
        <v>2</v>
      </c>
      <c r="C21" s="100" t="s">
        <v>631</v>
      </c>
    </row>
    <row r="22" spans="1:3" ht="15.75" thickBot="1" x14ac:dyDescent="0.25">
      <c r="A22" s="66">
        <v>44715</v>
      </c>
      <c r="B22" s="70">
        <v>3</v>
      </c>
      <c r="C22" s="100" t="s">
        <v>632</v>
      </c>
    </row>
    <row r="23" spans="1:3" ht="15.75" thickBot="1" x14ac:dyDescent="0.25">
      <c r="A23" s="66">
        <v>45079</v>
      </c>
      <c r="B23" s="70">
        <v>4</v>
      </c>
      <c r="C23" s="100" t="s">
        <v>633</v>
      </c>
    </row>
    <row r="24" spans="1:3" ht="15.75" x14ac:dyDescent="0.25">
      <c r="A24" s="97" t="s">
        <v>630</v>
      </c>
    </row>
  </sheetData>
  <mergeCells count="4">
    <mergeCell ref="A16:C16"/>
    <mergeCell ref="A6:C6"/>
    <mergeCell ref="A13:C13"/>
    <mergeCell ref="A15:C15"/>
  </mergeCells>
  <phoneticPr fontId="3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1"/>
  <sheetViews>
    <sheetView zoomScaleNormal="100" workbookViewId="0">
      <selection activeCell="A4" sqref="A4:C4"/>
    </sheetView>
  </sheetViews>
  <sheetFormatPr defaultColWidth="8.59765625" defaultRowHeight="15" x14ac:dyDescent="0.2"/>
  <cols>
    <col min="1" max="1" width="19.3984375" style="43" customWidth="1"/>
    <col min="2" max="2" width="8.59765625" style="42"/>
    <col min="3" max="3" width="58.5" style="43" customWidth="1"/>
  </cols>
  <sheetData>
    <row r="1" spans="1:3" ht="21" x14ac:dyDescent="0.2">
      <c r="C1" s="67"/>
    </row>
    <row r="4" spans="1:3" ht="28.5" x14ac:dyDescent="0.45">
      <c r="A4" s="107" t="s">
        <v>635</v>
      </c>
      <c r="B4" s="107"/>
      <c r="C4" s="107"/>
    </row>
    <row r="5" spans="1:3" ht="15.75" thickBot="1" x14ac:dyDescent="0.3">
      <c r="A5" s="97" t="s">
        <v>634</v>
      </c>
      <c r="B5" s="45"/>
      <c r="C5" s="45"/>
    </row>
    <row r="6" spans="1:3" ht="15.75" thickBot="1" x14ac:dyDescent="0.3">
      <c r="A6" s="99" t="s">
        <v>578</v>
      </c>
      <c r="B6" s="96" t="s">
        <v>579</v>
      </c>
      <c r="C6" s="96" t="s">
        <v>588</v>
      </c>
    </row>
    <row r="7" spans="1:3" ht="15.75" thickBot="1" x14ac:dyDescent="0.3">
      <c r="A7" s="94">
        <v>43958</v>
      </c>
      <c r="B7" s="98">
        <v>1</v>
      </c>
      <c r="C7" s="95" t="s">
        <v>591</v>
      </c>
    </row>
    <row r="8" spans="1:3" ht="15.75" thickBot="1" x14ac:dyDescent="0.3">
      <c r="A8" s="94">
        <v>44095</v>
      </c>
      <c r="B8" s="93">
        <v>1.1000000000000001</v>
      </c>
      <c r="C8" s="95" t="s">
        <v>592</v>
      </c>
    </row>
    <row r="9" spans="1:3" ht="210.75" thickBot="1" x14ac:dyDescent="0.25">
      <c r="A9" s="66">
        <v>44351</v>
      </c>
      <c r="B9" s="70">
        <v>2</v>
      </c>
      <c r="C9" s="100" t="s">
        <v>638</v>
      </c>
    </row>
    <row r="10" spans="1:3" ht="180.75" thickBot="1" x14ac:dyDescent="0.25">
      <c r="A10" s="66">
        <v>44715</v>
      </c>
      <c r="B10" s="70">
        <v>3</v>
      </c>
      <c r="C10" s="100" t="s">
        <v>647</v>
      </c>
    </row>
    <row r="11" spans="1:3" ht="255.75" thickBot="1" x14ac:dyDescent="0.25">
      <c r="A11" s="66">
        <v>45079</v>
      </c>
      <c r="B11" s="70">
        <v>4</v>
      </c>
      <c r="C11" s="100" t="s">
        <v>648</v>
      </c>
    </row>
  </sheetData>
  <mergeCells count="1">
    <mergeCell ref="A4:C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7"/>
  <sheetViews>
    <sheetView zoomScale="90" zoomScaleNormal="90" workbookViewId="0">
      <pane ySplit="1" topLeftCell="A2" activePane="bottomLeft" state="frozen"/>
      <selection pane="bottomLeft" activeCell="C2" sqref="C2:I2"/>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30" bestFit="1" customWidth="1"/>
    <col min="9" max="9" width="18.5" style="30" customWidth="1"/>
    <col min="10" max="10" width="9.19921875" style="88" bestFit="1" customWidth="1"/>
    <col min="11" max="11" width="8.796875" style="88" bestFit="1" customWidth="1"/>
    <col min="12" max="12" width="7.69921875" style="89" customWidth="1"/>
    <col min="13" max="176" width="6.59765625" style="1" customWidth="1"/>
  </cols>
  <sheetData>
    <row r="1" spans="1:12" ht="62.25" customHeight="1" x14ac:dyDescent="0.2">
      <c r="A1" s="128" t="s">
        <v>649</v>
      </c>
      <c r="B1" s="128"/>
      <c r="C1" s="128"/>
      <c r="D1" s="128"/>
      <c r="E1" s="128"/>
      <c r="F1" s="128"/>
      <c r="G1" s="101" t="s">
        <v>645</v>
      </c>
      <c r="H1" s="101" t="s">
        <v>676</v>
      </c>
      <c r="I1" s="29"/>
      <c r="J1" s="71" t="s">
        <v>624</v>
      </c>
      <c r="K1" s="72" t="s">
        <v>625</v>
      </c>
      <c r="L1" s="73" t="s">
        <v>626</v>
      </c>
    </row>
    <row r="2" spans="1:12" ht="29.1" customHeight="1" x14ac:dyDescent="0.2">
      <c r="A2" s="144" t="s">
        <v>585</v>
      </c>
      <c r="B2" s="145"/>
      <c r="C2" s="134" t="s">
        <v>0</v>
      </c>
      <c r="D2" s="135"/>
      <c r="E2" s="135"/>
      <c r="F2" s="135"/>
      <c r="G2" s="135"/>
      <c r="H2" s="135"/>
      <c r="I2" s="136"/>
      <c r="J2" s="74"/>
      <c r="K2" s="75"/>
      <c r="L2" s="76"/>
    </row>
    <row r="3" spans="1:12" ht="36" customHeight="1" x14ac:dyDescent="0.2">
      <c r="A3" s="140" t="s">
        <v>1</v>
      </c>
      <c r="B3" s="141"/>
      <c r="C3" s="141"/>
      <c r="D3" s="141"/>
      <c r="E3" s="141"/>
      <c r="F3" s="141"/>
      <c r="G3" s="141"/>
      <c r="H3" s="141"/>
      <c r="I3" s="142"/>
      <c r="J3" s="77"/>
      <c r="K3" s="78"/>
      <c r="L3" s="79"/>
    </row>
    <row r="4" spans="1:12" ht="246.75" customHeight="1" x14ac:dyDescent="0.2">
      <c r="A4" s="137" t="s">
        <v>650</v>
      </c>
      <c r="B4" s="138"/>
      <c r="C4" s="138"/>
      <c r="D4" s="138"/>
      <c r="E4" s="138"/>
      <c r="F4" s="138"/>
      <c r="G4" s="138"/>
      <c r="H4" s="138"/>
      <c r="I4" s="139"/>
      <c r="J4" s="80"/>
      <c r="K4" s="81"/>
      <c r="L4" s="76"/>
    </row>
    <row r="5" spans="1:12" ht="24" customHeight="1" x14ac:dyDescent="0.2">
      <c r="A5" s="131" t="s">
        <v>556</v>
      </c>
      <c r="B5" s="132"/>
      <c r="C5" s="132"/>
      <c r="D5" s="132"/>
      <c r="E5" s="132"/>
      <c r="F5" s="132"/>
      <c r="G5" s="132"/>
      <c r="H5" s="132"/>
      <c r="I5" s="133"/>
      <c r="J5" s="110" t="s">
        <v>627</v>
      </c>
      <c r="K5" s="110"/>
      <c r="L5" s="82">
        <f>SUM(L44,L60,L76,L90,L121,L142,L157,L182,L208,L221,L232,L259,L276)</f>
        <v>0</v>
      </c>
    </row>
    <row r="6" spans="1:12" ht="17.25" customHeight="1" x14ac:dyDescent="0.2">
      <c r="A6" s="22" t="s">
        <v>2</v>
      </c>
      <c r="B6" s="34" t="s">
        <v>559</v>
      </c>
      <c r="C6" s="115" t="s">
        <v>559</v>
      </c>
      <c r="D6" s="116"/>
      <c r="E6" s="116"/>
      <c r="F6" s="116"/>
      <c r="G6" s="116"/>
      <c r="H6" s="116"/>
      <c r="I6" s="117"/>
      <c r="J6" s="80"/>
      <c r="K6" s="81"/>
      <c r="L6" s="76"/>
    </row>
    <row r="7" spans="1:12" ht="22.35" customHeight="1" x14ac:dyDescent="0.2">
      <c r="A7" s="22" t="s">
        <v>3</v>
      </c>
      <c r="B7" s="34" t="s">
        <v>560</v>
      </c>
      <c r="C7" s="115" t="s">
        <v>561</v>
      </c>
      <c r="D7" s="116"/>
      <c r="E7" s="116"/>
      <c r="F7" s="116"/>
      <c r="G7" s="116"/>
      <c r="H7" s="116"/>
      <c r="I7" s="117"/>
      <c r="J7" s="80"/>
      <c r="K7" s="81"/>
      <c r="L7" s="76"/>
    </row>
    <row r="8" spans="1:12" ht="22.35" customHeight="1" x14ac:dyDescent="0.2">
      <c r="A8" s="22" t="s">
        <v>4</v>
      </c>
      <c r="B8" s="34" t="s">
        <v>368</v>
      </c>
      <c r="C8" s="112" t="s">
        <v>368</v>
      </c>
      <c r="D8" s="118"/>
      <c r="E8" s="118"/>
      <c r="F8" s="118"/>
      <c r="G8" s="118"/>
      <c r="H8" s="118"/>
      <c r="I8" s="119"/>
      <c r="J8" s="80"/>
      <c r="K8" s="81"/>
      <c r="L8" s="76"/>
    </row>
    <row r="9" spans="1:12" ht="22.35" customHeight="1" x14ac:dyDescent="0.2">
      <c r="A9" s="22" t="s">
        <v>5</v>
      </c>
      <c r="B9" s="34" t="s">
        <v>369</v>
      </c>
      <c r="C9" s="112" t="s">
        <v>369</v>
      </c>
      <c r="D9" s="113"/>
      <c r="E9" s="113"/>
      <c r="F9" s="113"/>
      <c r="G9" s="113"/>
      <c r="H9" s="113"/>
      <c r="I9" s="114"/>
      <c r="J9" s="80"/>
      <c r="K9" s="81"/>
      <c r="L9" s="76"/>
    </row>
    <row r="10" spans="1:12" ht="22.35" customHeight="1" x14ac:dyDescent="0.2">
      <c r="A10" s="22" t="s">
        <v>7</v>
      </c>
      <c r="B10" s="34" t="s">
        <v>370</v>
      </c>
      <c r="C10" s="112" t="s">
        <v>370</v>
      </c>
      <c r="D10" s="113"/>
      <c r="E10" s="113"/>
      <c r="F10" s="113"/>
      <c r="G10" s="113"/>
      <c r="H10" s="113"/>
      <c r="I10" s="114"/>
      <c r="J10" s="80"/>
      <c r="K10" s="81"/>
      <c r="L10" s="76"/>
    </row>
    <row r="11" spans="1:12" ht="22.35" customHeight="1" x14ac:dyDescent="0.2">
      <c r="A11" s="22" t="s">
        <v>8</v>
      </c>
      <c r="B11" s="34" t="s">
        <v>371</v>
      </c>
      <c r="C11" s="112" t="s">
        <v>371</v>
      </c>
      <c r="D11" s="113"/>
      <c r="E11" s="113"/>
      <c r="F11" s="113"/>
      <c r="G11" s="113"/>
      <c r="H11" s="113"/>
      <c r="I11" s="114"/>
      <c r="J11" s="80"/>
      <c r="K11" s="81"/>
      <c r="L11" s="76"/>
    </row>
    <row r="12" spans="1:12" ht="22.35" customHeight="1" x14ac:dyDescent="0.2">
      <c r="A12" s="22" t="s">
        <v>9</v>
      </c>
      <c r="B12" s="34" t="s">
        <v>128</v>
      </c>
      <c r="C12" s="112" t="s">
        <v>129</v>
      </c>
      <c r="D12" s="113"/>
      <c r="E12" s="113"/>
      <c r="F12" s="113"/>
      <c r="G12" s="113"/>
      <c r="H12" s="113"/>
      <c r="I12" s="114"/>
      <c r="J12" s="80"/>
      <c r="K12" s="81"/>
      <c r="L12" s="76"/>
    </row>
    <row r="13" spans="1:12" ht="22.35" customHeight="1" x14ac:dyDescent="0.2">
      <c r="A13" s="22" t="s">
        <v>10</v>
      </c>
      <c r="B13" s="34" t="s">
        <v>130</v>
      </c>
      <c r="C13" s="112" t="s">
        <v>131</v>
      </c>
      <c r="D13" s="113"/>
      <c r="E13" s="113"/>
      <c r="F13" s="113"/>
      <c r="G13" s="113"/>
      <c r="H13" s="113"/>
      <c r="I13" s="114"/>
      <c r="J13" s="80"/>
      <c r="K13" s="81"/>
      <c r="L13" s="76"/>
    </row>
    <row r="14" spans="1:12" ht="22.35" customHeight="1" x14ac:dyDescent="0.2">
      <c r="A14" s="22" t="s">
        <v>12</v>
      </c>
      <c r="B14" s="34" t="s">
        <v>6</v>
      </c>
      <c r="C14" s="112" t="s">
        <v>557</v>
      </c>
      <c r="D14" s="113"/>
      <c r="E14" s="113"/>
      <c r="F14" s="113"/>
      <c r="G14" s="113"/>
      <c r="H14" s="113"/>
      <c r="I14" s="114"/>
      <c r="J14" s="80"/>
      <c r="K14" s="81"/>
      <c r="L14" s="76"/>
    </row>
    <row r="15" spans="1:12" ht="22.35" customHeight="1" x14ac:dyDescent="0.2">
      <c r="A15" s="22" t="s">
        <v>13</v>
      </c>
      <c r="B15" s="34" t="s">
        <v>562</v>
      </c>
      <c r="C15" s="112" t="s">
        <v>140</v>
      </c>
      <c r="D15" s="113"/>
      <c r="E15" s="113"/>
      <c r="F15" s="113"/>
      <c r="G15" s="113"/>
      <c r="H15" s="113"/>
      <c r="I15" s="114"/>
      <c r="J15" s="80"/>
      <c r="K15" s="81"/>
      <c r="L15" s="76"/>
    </row>
    <row r="16" spans="1:12" ht="22.35" customHeight="1" x14ac:dyDescent="0.2">
      <c r="A16" s="22" t="s">
        <v>14</v>
      </c>
      <c r="B16" s="34" t="s">
        <v>563</v>
      </c>
      <c r="C16" s="112" t="s">
        <v>137</v>
      </c>
      <c r="D16" s="113"/>
      <c r="E16" s="113"/>
      <c r="F16" s="113"/>
      <c r="G16" s="113"/>
      <c r="H16" s="113"/>
      <c r="I16" s="114"/>
      <c r="J16" s="80"/>
      <c r="K16" s="81"/>
      <c r="L16" s="76"/>
    </row>
    <row r="17" spans="1:12" ht="31.5" customHeight="1" x14ac:dyDescent="0.2">
      <c r="A17" s="22" t="s">
        <v>15</v>
      </c>
      <c r="B17" s="34" t="s">
        <v>372</v>
      </c>
      <c r="C17" s="112" t="s">
        <v>642</v>
      </c>
      <c r="D17" s="113"/>
      <c r="E17" s="113"/>
      <c r="F17" s="113"/>
      <c r="G17" s="113"/>
      <c r="H17" s="113"/>
      <c r="I17" s="114"/>
      <c r="J17" s="80"/>
      <c r="K17" s="81"/>
      <c r="L17" s="76"/>
    </row>
    <row r="18" spans="1:12" ht="22.35" customHeight="1" x14ac:dyDescent="0.2">
      <c r="A18" s="22" t="s">
        <v>373</v>
      </c>
      <c r="B18" s="34" t="s">
        <v>564</v>
      </c>
      <c r="C18" s="112" t="s">
        <v>565</v>
      </c>
      <c r="D18" s="113"/>
      <c r="E18" s="113"/>
      <c r="F18" s="113"/>
      <c r="G18" s="113"/>
      <c r="H18" s="113"/>
      <c r="I18" s="114"/>
      <c r="J18" s="80"/>
      <c r="K18" s="81"/>
      <c r="L18" s="76"/>
    </row>
    <row r="19" spans="1:12" ht="22.35" customHeight="1" x14ac:dyDescent="0.2">
      <c r="A19" s="22" t="s">
        <v>374</v>
      </c>
      <c r="B19" s="34" t="s">
        <v>566</v>
      </c>
      <c r="C19" s="112" t="s">
        <v>566</v>
      </c>
      <c r="D19" s="113"/>
      <c r="E19" s="113"/>
      <c r="F19" s="113"/>
      <c r="G19" s="113"/>
      <c r="H19" s="113"/>
      <c r="I19" s="114"/>
      <c r="J19" s="80"/>
      <c r="K19" s="81"/>
      <c r="L19" s="76"/>
    </row>
    <row r="20" spans="1:12" ht="22.35" customHeight="1" x14ac:dyDescent="0.2">
      <c r="A20" s="22" t="s">
        <v>375</v>
      </c>
      <c r="B20" s="34" t="s">
        <v>567</v>
      </c>
      <c r="C20" s="112" t="s">
        <v>568</v>
      </c>
      <c r="D20" s="113"/>
      <c r="E20" s="113"/>
      <c r="F20" s="113"/>
      <c r="G20" s="113"/>
      <c r="H20" s="113"/>
      <c r="I20" s="114"/>
      <c r="J20" s="80"/>
      <c r="K20" s="81"/>
      <c r="L20" s="76"/>
    </row>
    <row r="21" spans="1:12" ht="22.35" customHeight="1" x14ac:dyDescent="0.2">
      <c r="A21" s="22" t="s">
        <v>376</v>
      </c>
      <c r="B21" s="34" t="s">
        <v>569</v>
      </c>
      <c r="C21" s="115" t="s">
        <v>569</v>
      </c>
      <c r="D21" s="116"/>
      <c r="E21" s="116"/>
      <c r="F21" s="116"/>
      <c r="G21" s="116"/>
      <c r="H21" s="116"/>
      <c r="I21" s="117"/>
      <c r="J21" s="80"/>
      <c r="K21" s="81"/>
      <c r="L21" s="76"/>
    </row>
    <row r="22" spans="1:12" ht="22.35" customHeight="1" x14ac:dyDescent="0.2">
      <c r="A22" s="22" t="s">
        <v>377</v>
      </c>
      <c r="B22" s="34" t="s">
        <v>570</v>
      </c>
      <c r="C22" s="115" t="s">
        <v>570</v>
      </c>
      <c r="D22" s="116"/>
      <c r="E22" s="116"/>
      <c r="F22" s="116"/>
      <c r="G22" s="116"/>
      <c r="H22" s="116"/>
      <c r="I22" s="117"/>
      <c r="J22" s="80"/>
      <c r="K22" s="81"/>
      <c r="L22" s="76"/>
    </row>
    <row r="23" spans="1:12" ht="22.35" customHeight="1" x14ac:dyDescent="0.2">
      <c r="A23" s="22" t="s">
        <v>378</v>
      </c>
      <c r="B23" s="34" t="s">
        <v>571</v>
      </c>
      <c r="C23" s="115" t="s">
        <v>572</v>
      </c>
      <c r="D23" s="116"/>
      <c r="E23" s="116"/>
      <c r="F23" s="116"/>
      <c r="G23" s="116"/>
      <c r="H23" s="116"/>
      <c r="I23" s="117"/>
      <c r="J23" s="80"/>
      <c r="K23" s="81"/>
      <c r="L23" s="76"/>
    </row>
    <row r="24" spans="1:12" ht="22.35" customHeight="1" x14ac:dyDescent="0.2">
      <c r="A24" s="22" t="s">
        <v>379</v>
      </c>
      <c r="B24" s="34" t="s">
        <v>573</v>
      </c>
      <c r="C24" s="115" t="s">
        <v>11</v>
      </c>
      <c r="D24" s="116"/>
      <c r="E24" s="116"/>
      <c r="F24" s="116"/>
      <c r="G24" s="116"/>
      <c r="H24" s="116"/>
      <c r="I24" s="117"/>
      <c r="J24" s="80"/>
      <c r="K24" s="81"/>
      <c r="L24" s="76"/>
    </row>
    <row r="25" spans="1:12" s="1" customFormat="1" ht="22.35" customHeight="1" x14ac:dyDescent="0.2">
      <c r="A25" s="131" t="s">
        <v>600</v>
      </c>
      <c r="B25" s="132"/>
      <c r="C25" s="132"/>
      <c r="D25" s="132"/>
      <c r="E25" s="132"/>
      <c r="F25" s="132"/>
      <c r="G25" s="132"/>
      <c r="H25" s="132"/>
      <c r="I25" s="133"/>
      <c r="J25" s="80"/>
      <c r="K25" s="81"/>
      <c r="L25" s="76"/>
    </row>
    <row r="26" spans="1:12" s="1" customFormat="1" ht="22.35" customHeight="1" x14ac:dyDescent="0.2">
      <c r="A26" s="129" t="s">
        <v>101</v>
      </c>
      <c r="B26" s="129"/>
      <c r="C26" s="129"/>
      <c r="D26" s="129"/>
      <c r="E26" s="129"/>
      <c r="F26" s="129"/>
      <c r="G26" s="129"/>
      <c r="H26" s="31"/>
      <c r="I26" s="32"/>
      <c r="J26" s="80"/>
      <c r="K26" s="81"/>
      <c r="L26" s="76"/>
    </row>
    <row r="27" spans="1:12" s="1" customFormat="1" ht="20.100000000000001" customHeight="1" x14ac:dyDescent="0.2">
      <c r="A27" s="9"/>
      <c r="B27" s="10" t="s">
        <v>95</v>
      </c>
      <c r="C27" s="10"/>
      <c r="D27" s="10"/>
      <c r="E27" s="10"/>
      <c r="F27" s="10"/>
      <c r="G27" s="10"/>
      <c r="H27" s="10"/>
      <c r="I27" s="28"/>
      <c r="J27" s="80"/>
      <c r="K27" s="81"/>
      <c r="L27" s="76"/>
    </row>
    <row r="28" spans="1:12" s="1" customFormat="1" ht="20.100000000000001" customHeight="1" x14ac:dyDescent="0.2">
      <c r="A28" s="9"/>
      <c r="B28" s="10" t="s">
        <v>96</v>
      </c>
      <c r="C28" s="10"/>
      <c r="D28" s="10"/>
      <c r="E28" s="10"/>
      <c r="F28" s="10"/>
      <c r="G28" s="10"/>
      <c r="H28" s="10"/>
      <c r="I28" s="28"/>
      <c r="J28" s="80"/>
      <c r="K28" s="81"/>
      <c r="L28" s="76"/>
    </row>
    <row r="29" spans="1:12" s="1" customFormat="1" ht="20.100000000000001" customHeight="1" x14ac:dyDescent="0.2">
      <c r="A29" s="9"/>
      <c r="B29" s="10" t="s">
        <v>97</v>
      </c>
      <c r="C29" s="10"/>
      <c r="D29" s="10"/>
      <c r="E29" s="10"/>
      <c r="F29" s="10"/>
      <c r="G29" s="10"/>
      <c r="H29" s="10"/>
      <c r="I29" s="28"/>
      <c r="J29" s="80"/>
      <c r="K29" s="81"/>
      <c r="L29" s="76"/>
    </row>
    <row r="30" spans="1:12" s="1" customFormat="1" ht="20.100000000000001" customHeight="1" x14ac:dyDescent="0.2">
      <c r="A30" s="9"/>
      <c r="B30" s="62" t="s">
        <v>595</v>
      </c>
      <c r="C30" s="10"/>
      <c r="D30" s="10"/>
      <c r="E30" s="10"/>
      <c r="F30" s="10"/>
      <c r="G30" s="10"/>
      <c r="H30" s="10"/>
      <c r="I30" s="28"/>
      <c r="J30" s="80"/>
      <c r="K30" s="81"/>
      <c r="L30" s="76"/>
    </row>
    <row r="31" spans="1:12" s="1" customFormat="1" ht="20.100000000000001" customHeight="1" x14ac:dyDescent="0.2">
      <c r="A31" s="9"/>
      <c r="B31" s="62" t="s">
        <v>639</v>
      </c>
      <c r="C31" s="10"/>
      <c r="D31" s="10"/>
      <c r="E31" s="10"/>
      <c r="F31" s="10"/>
      <c r="G31" s="10"/>
      <c r="H31" s="10"/>
      <c r="I31" s="28"/>
      <c r="J31" s="80"/>
      <c r="K31" s="81"/>
      <c r="L31" s="76"/>
    </row>
    <row r="32" spans="1:12" s="1" customFormat="1" ht="20.100000000000001" customHeight="1" x14ac:dyDescent="0.2">
      <c r="A32" s="9"/>
      <c r="B32" s="62" t="s">
        <v>593</v>
      </c>
      <c r="C32" s="10"/>
      <c r="D32" s="10"/>
      <c r="E32" s="10"/>
      <c r="F32" s="10"/>
      <c r="G32" s="10"/>
      <c r="H32" s="10"/>
      <c r="I32" s="28"/>
      <c r="J32" s="80"/>
      <c r="K32" s="81"/>
      <c r="L32" s="76"/>
    </row>
    <row r="33" spans="1:12" s="1" customFormat="1" ht="20.100000000000001" customHeight="1" x14ac:dyDescent="0.2">
      <c r="A33" s="9"/>
      <c r="B33" s="62" t="s">
        <v>603</v>
      </c>
      <c r="C33" s="10"/>
      <c r="D33" s="10"/>
      <c r="E33" s="10"/>
      <c r="F33" s="10"/>
      <c r="G33" s="10"/>
      <c r="H33" s="10"/>
      <c r="I33" s="28"/>
      <c r="J33" s="80"/>
      <c r="K33" s="81"/>
      <c r="L33" s="76"/>
    </row>
    <row r="34" spans="1:12" s="1" customFormat="1" ht="20.100000000000001" customHeight="1" x14ac:dyDescent="0.2">
      <c r="A34" s="9"/>
      <c r="B34" s="10" t="s">
        <v>484</v>
      </c>
      <c r="C34" s="10"/>
      <c r="D34" s="10"/>
      <c r="E34" s="10"/>
      <c r="F34" s="10"/>
      <c r="G34" s="10"/>
      <c r="H34" s="10"/>
      <c r="I34" s="28"/>
      <c r="J34" s="80"/>
      <c r="K34" s="81"/>
      <c r="L34" s="76"/>
    </row>
    <row r="35" spans="1:12" s="1" customFormat="1" ht="20.100000000000001" customHeight="1" x14ac:dyDescent="0.2">
      <c r="A35" s="9"/>
      <c r="B35" s="10" t="s">
        <v>98</v>
      </c>
      <c r="C35" s="10"/>
      <c r="D35" s="10"/>
      <c r="E35" s="10"/>
      <c r="F35" s="10"/>
      <c r="G35" s="10"/>
      <c r="H35" s="10"/>
      <c r="I35" s="28"/>
      <c r="J35" s="80"/>
      <c r="K35" s="81"/>
      <c r="L35" s="76"/>
    </row>
    <row r="36" spans="1:12" s="1" customFormat="1" ht="20.100000000000001" customHeight="1" x14ac:dyDescent="0.2">
      <c r="A36" s="9"/>
      <c r="B36" s="10" t="s">
        <v>99</v>
      </c>
      <c r="C36" s="10"/>
      <c r="D36" s="10"/>
      <c r="E36" s="10"/>
      <c r="F36" s="10"/>
      <c r="G36" s="10"/>
      <c r="H36" s="10"/>
      <c r="I36" s="28"/>
      <c r="J36" s="80"/>
      <c r="K36" s="81"/>
      <c r="L36" s="76"/>
    </row>
    <row r="37" spans="1:12" s="1" customFormat="1" ht="20.100000000000001" customHeight="1" x14ac:dyDescent="0.2">
      <c r="A37" s="9"/>
      <c r="B37" s="10" t="s">
        <v>100</v>
      </c>
      <c r="C37" s="10"/>
      <c r="D37" s="10"/>
      <c r="E37" s="10"/>
      <c r="F37" s="10"/>
      <c r="G37" s="10"/>
      <c r="H37" s="10"/>
      <c r="I37" s="28"/>
      <c r="J37" s="80"/>
      <c r="K37" s="81"/>
      <c r="L37" s="76"/>
    </row>
    <row r="38" spans="1:12" s="1" customFormat="1" ht="20.100000000000001" customHeight="1" x14ac:dyDescent="0.2">
      <c r="A38" s="9"/>
      <c r="B38" s="10" t="s">
        <v>485</v>
      </c>
      <c r="C38" s="10"/>
      <c r="D38" s="10"/>
      <c r="E38" s="10"/>
      <c r="F38" s="10"/>
      <c r="G38" s="10"/>
      <c r="H38" s="10"/>
      <c r="I38" s="28"/>
      <c r="J38" s="80"/>
      <c r="K38" s="81"/>
      <c r="L38" s="76"/>
    </row>
    <row r="39" spans="1:12" s="1" customFormat="1" ht="20.100000000000001" customHeight="1" x14ac:dyDescent="0.2">
      <c r="A39" s="9"/>
      <c r="B39" s="130" t="s">
        <v>589</v>
      </c>
      <c r="C39" s="130"/>
      <c r="D39" s="130"/>
      <c r="E39" s="130"/>
      <c r="F39" s="130"/>
      <c r="G39" s="130"/>
      <c r="H39" s="10"/>
      <c r="I39" s="28"/>
      <c r="J39" s="80"/>
      <c r="K39" s="81"/>
      <c r="L39" s="76"/>
    </row>
    <row r="40" spans="1:12" s="1" customFormat="1" ht="75" customHeight="1" x14ac:dyDescent="0.2">
      <c r="A40" s="9"/>
      <c r="B40" s="11" t="s">
        <v>486</v>
      </c>
      <c r="C40" s="143"/>
      <c r="D40" s="143"/>
      <c r="E40" s="143"/>
      <c r="F40" s="143"/>
      <c r="G40" s="143"/>
      <c r="H40" s="143"/>
      <c r="I40" s="143"/>
      <c r="J40" s="80"/>
      <c r="K40" s="81"/>
      <c r="L40" s="76"/>
    </row>
    <row r="41" spans="1:12" s="1" customFormat="1" ht="42" customHeight="1" x14ac:dyDescent="0.2">
      <c r="A41" s="9"/>
      <c r="B41" s="11" t="s">
        <v>117</v>
      </c>
      <c r="C41" s="143"/>
      <c r="D41" s="143"/>
      <c r="E41" s="143"/>
      <c r="F41" s="143"/>
      <c r="G41" s="143"/>
      <c r="H41" s="143"/>
      <c r="I41" s="143"/>
      <c r="J41" s="80"/>
      <c r="K41" s="81"/>
      <c r="L41" s="76"/>
    </row>
    <row r="42" spans="1:12" s="1" customFormat="1" ht="36" customHeight="1" x14ac:dyDescent="0.2">
      <c r="A42" s="140" t="s">
        <v>16</v>
      </c>
      <c r="B42" s="141"/>
      <c r="C42" s="141"/>
      <c r="D42" s="141"/>
      <c r="E42" s="141"/>
      <c r="F42" s="141"/>
      <c r="G42" s="141"/>
      <c r="H42" s="141"/>
      <c r="I42" s="142"/>
      <c r="J42" s="80"/>
      <c r="K42" s="81"/>
      <c r="L42" s="76"/>
    </row>
    <row r="43" spans="1:12" s="1" customFormat="1" ht="216" customHeight="1" x14ac:dyDescent="0.2">
      <c r="A43" s="137" t="s">
        <v>673</v>
      </c>
      <c r="B43" s="138"/>
      <c r="C43" s="138"/>
      <c r="D43" s="138"/>
      <c r="E43" s="138"/>
      <c r="F43" s="138"/>
      <c r="G43" s="138"/>
      <c r="H43" s="138"/>
      <c r="I43" s="139"/>
      <c r="J43" s="80"/>
      <c r="K43" s="81"/>
      <c r="L43" s="76"/>
    </row>
    <row r="44" spans="1:12" s="1" customFormat="1" ht="54" x14ac:dyDescent="0.2">
      <c r="A44" s="120" t="s">
        <v>19</v>
      </c>
      <c r="B44" s="120"/>
      <c r="C44" s="2" t="s">
        <v>574</v>
      </c>
      <c r="D44" s="2" t="s">
        <v>575</v>
      </c>
      <c r="E44" s="2" t="s">
        <v>104</v>
      </c>
      <c r="F44" s="2" t="s">
        <v>17</v>
      </c>
      <c r="G44" s="2" t="s">
        <v>18</v>
      </c>
      <c r="H44" s="2" t="s">
        <v>353</v>
      </c>
      <c r="I44" s="2" t="s">
        <v>380</v>
      </c>
      <c r="J44" s="108" t="s">
        <v>628</v>
      </c>
      <c r="K44" s="109"/>
      <c r="L44" s="83">
        <f>SUM(L45:L59)</f>
        <v>0</v>
      </c>
    </row>
    <row r="45" spans="1:12" s="1" customFormat="1" ht="77.25" customHeight="1" x14ac:dyDescent="0.2">
      <c r="A45" s="8" t="s">
        <v>166</v>
      </c>
      <c r="B45" s="16" t="s">
        <v>296</v>
      </c>
      <c r="C45" s="147"/>
      <c r="D45" s="148"/>
      <c r="E45" s="148"/>
      <c r="F45" s="17"/>
      <c r="G45" s="56" t="s">
        <v>381</v>
      </c>
      <c r="H45" s="35">
        <v>22</v>
      </c>
      <c r="I45" s="36" t="s">
        <v>382</v>
      </c>
      <c r="J45" s="84"/>
      <c r="K45" s="84"/>
      <c r="L45" s="85">
        <f t="shared" ref="L45:L59" si="0">J45*K45</f>
        <v>0</v>
      </c>
    </row>
    <row r="46" spans="1:12" s="1" customFormat="1" ht="54" customHeight="1" x14ac:dyDescent="0.2">
      <c r="A46" s="8" t="s">
        <v>22</v>
      </c>
      <c r="B46" s="37" t="s">
        <v>20</v>
      </c>
      <c r="C46" s="146"/>
      <c r="D46" s="146"/>
      <c r="E46" s="146"/>
      <c r="F46" s="146"/>
      <c r="G46" s="56" t="s">
        <v>21</v>
      </c>
      <c r="H46" s="35"/>
      <c r="I46" s="36"/>
      <c r="J46" s="84"/>
      <c r="K46" s="84"/>
      <c r="L46" s="85">
        <f t="shared" si="0"/>
        <v>0</v>
      </c>
    </row>
    <row r="47" spans="1:12" s="1" customFormat="1" ht="54" customHeight="1" x14ac:dyDescent="0.2">
      <c r="A47" s="8" t="s">
        <v>25</v>
      </c>
      <c r="B47" s="37" t="s">
        <v>383</v>
      </c>
      <c r="C47" s="146"/>
      <c r="D47" s="146"/>
      <c r="E47" s="146"/>
      <c r="F47" s="146"/>
      <c r="G47" s="56" t="s">
        <v>21</v>
      </c>
      <c r="H47" s="35"/>
      <c r="I47" s="36"/>
      <c r="J47" s="84"/>
      <c r="K47" s="84"/>
      <c r="L47" s="85">
        <f t="shared" si="0"/>
        <v>0</v>
      </c>
    </row>
    <row r="48" spans="1:12" s="1" customFormat="1" ht="54" customHeight="1" x14ac:dyDescent="0.2">
      <c r="A48" s="8" t="s">
        <v>26</v>
      </c>
      <c r="B48" s="37" t="s">
        <v>23</v>
      </c>
      <c r="C48" s="146"/>
      <c r="D48" s="146"/>
      <c r="E48" s="146"/>
      <c r="F48" s="146"/>
      <c r="G48" s="56" t="s">
        <v>24</v>
      </c>
      <c r="H48" s="35"/>
      <c r="I48" s="36"/>
      <c r="J48" s="84"/>
      <c r="K48" s="84"/>
      <c r="L48" s="85">
        <f t="shared" si="0"/>
        <v>0</v>
      </c>
    </row>
    <row r="49" spans="1:176" s="1" customFormat="1" ht="54" customHeight="1" x14ac:dyDescent="0.2">
      <c r="A49" s="8" t="s">
        <v>27</v>
      </c>
      <c r="B49" s="37" t="s">
        <v>651</v>
      </c>
      <c r="C49" s="52"/>
      <c r="D49" s="52"/>
      <c r="E49" s="52"/>
      <c r="F49" s="15"/>
      <c r="G49" s="56"/>
      <c r="H49" s="35">
        <v>61</v>
      </c>
      <c r="I49" s="36"/>
      <c r="J49" s="84"/>
      <c r="K49" s="84"/>
      <c r="L49" s="85">
        <f t="shared" si="0"/>
        <v>0</v>
      </c>
    </row>
    <row r="50" spans="1:176" s="1" customFormat="1" ht="42.75" x14ac:dyDescent="0.2">
      <c r="A50" s="8" t="s">
        <v>28</v>
      </c>
      <c r="B50" s="37" t="s">
        <v>652</v>
      </c>
      <c r="C50" s="52"/>
      <c r="D50" s="52"/>
      <c r="E50" s="52"/>
      <c r="F50" s="15"/>
      <c r="G50" s="56"/>
      <c r="H50" s="35">
        <v>62</v>
      </c>
      <c r="I50" s="36"/>
      <c r="J50" s="84"/>
      <c r="K50" s="84"/>
      <c r="L50" s="85">
        <f t="shared" si="0"/>
        <v>0</v>
      </c>
    </row>
    <row r="51" spans="1:176" s="1" customFormat="1" ht="54" customHeight="1" x14ac:dyDescent="0.2">
      <c r="A51" s="8" t="s">
        <v>29</v>
      </c>
      <c r="B51" s="37" t="s">
        <v>653</v>
      </c>
      <c r="C51" s="52"/>
      <c r="D51" s="52"/>
      <c r="E51" s="52"/>
      <c r="F51" s="15"/>
      <c r="G51" s="56"/>
      <c r="H51" s="35">
        <v>63</v>
      </c>
      <c r="I51" s="36"/>
      <c r="J51" s="84"/>
      <c r="K51" s="84"/>
      <c r="L51" s="85">
        <f t="shared" si="0"/>
        <v>0</v>
      </c>
    </row>
    <row r="52" spans="1:176" s="1" customFormat="1" ht="54" customHeight="1" x14ac:dyDescent="0.2">
      <c r="A52" s="8" t="s">
        <v>295</v>
      </c>
      <c r="B52" s="37" t="s">
        <v>93</v>
      </c>
      <c r="C52" s="15"/>
      <c r="D52" s="15"/>
      <c r="E52" s="15"/>
      <c r="F52" s="15"/>
      <c r="G52" s="57" t="str">
        <f>IF(C52="","",IF(C52="Yes","Provide a list of utility references, with contact information.","State your primary industry. Please provide appropriate references."))</f>
        <v/>
      </c>
      <c r="H52" s="35"/>
      <c r="I52" s="36"/>
      <c r="J52" s="84"/>
      <c r="K52" s="84"/>
      <c r="L52" s="85">
        <f t="shared" si="0"/>
        <v>0</v>
      </c>
    </row>
    <row r="53" spans="1:176" s="1" customFormat="1" ht="64.349999999999994" customHeight="1" x14ac:dyDescent="0.2">
      <c r="A53" s="8" t="s">
        <v>384</v>
      </c>
      <c r="B53" s="37" t="s">
        <v>497</v>
      </c>
      <c r="C53" s="15"/>
      <c r="D53" s="15"/>
      <c r="E53" s="15"/>
      <c r="F53" s="12"/>
      <c r="G53" s="56" t="str">
        <f>IF(C53="","",IF(C53="Yes","Provide a detailed summary of the breach and actions taken to mitigate identified vulnerabilities.",""))</f>
        <v/>
      </c>
      <c r="H53" s="38">
        <v>34</v>
      </c>
      <c r="I53" s="38" t="s">
        <v>385</v>
      </c>
      <c r="J53" s="84"/>
      <c r="K53" s="84"/>
      <c r="L53" s="85">
        <f t="shared" si="0"/>
        <v>0</v>
      </c>
    </row>
    <row r="54" spans="1:176" s="1" customFormat="1" ht="64.349999999999994" customHeight="1" x14ac:dyDescent="0.2">
      <c r="A54" s="8" t="s">
        <v>386</v>
      </c>
      <c r="B54" s="37" t="s">
        <v>387</v>
      </c>
      <c r="C54" s="15"/>
      <c r="D54" s="15"/>
      <c r="E54" s="15"/>
      <c r="F54" s="12"/>
      <c r="G54" s="56"/>
      <c r="H54" s="35"/>
      <c r="I54" s="36"/>
      <c r="J54" s="84"/>
      <c r="K54" s="84"/>
      <c r="L54" s="85">
        <f t="shared" si="0"/>
        <v>0</v>
      </c>
    </row>
    <row r="55" spans="1:176" s="1" customFormat="1" ht="78.75" customHeight="1" x14ac:dyDescent="0.2">
      <c r="A55" s="8" t="s">
        <v>388</v>
      </c>
      <c r="B55" s="37" t="s">
        <v>498</v>
      </c>
      <c r="C55" s="15"/>
      <c r="D55" s="15"/>
      <c r="E55" s="15"/>
      <c r="F55" s="12"/>
      <c r="G55" s="56"/>
      <c r="H55" s="35"/>
      <c r="I55" s="36"/>
      <c r="J55" s="84"/>
      <c r="K55" s="84"/>
      <c r="L55" s="85">
        <f t="shared" si="0"/>
        <v>0</v>
      </c>
    </row>
    <row r="56" spans="1:176" s="1" customFormat="1" ht="52.5" customHeight="1" x14ac:dyDescent="0.2">
      <c r="A56" s="8" t="s">
        <v>389</v>
      </c>
      <c r="B56" s="37" t="s">
        <v>636</v>
      </c>
      <c r="C56" s="15"/>
      <c r="D56" s="15"/>
      <c r="E56" s="15"/>
      <c r="F56" s="12"/>
      <c r="G56" s="56"/>
      <c r="H56" s="35"/>
      <c r="I56" s="36"/>
      <c r="J56" s="84"/>
      <c r="K56" s="84"/>
      <c r="L56" s="85">
        <f t="shared" si="0"/>
        <v>0</v>
      </c>
    </row>
    <row r="57" spans="1:176" s="1" customFormat="1" ht="33.75" customHeight="1" x14ac:dyDescent="0.2">
      <c r="A57" s="8" t="s">
        <v>390</v>
      </c>
      <c r="B57" s="37" t="s">
        <v>499</v>
      </c>
      <c r="C57" s="15"/>
      <c r="D57" s="15"/>
      <c r="E57" s="15"/>
      <c r="F57" s="15"/>
      <c r="G57" s="56" t="str">
        <f>IF(C57="","",IF(C57="Yes","Describe your Information Security Office, including size, talents, resources, etc.","Describe any plans to create an Information Security Office for your organization."))</f>
        <v/>
      </c>
      <c r="H57" s="35"/>
      <c r="I57" s="36"/>
      <c r="J57" s="84"/>
      <c r="K57" s="84"/>
      <c r="L57" s="85">
        <f t="shared" si="0"/>
        <v>0</v>
      </c>
    </row>
    <row r="58" spans="1:176" s="1" customFormat="1" ht="51" customHeight="1" x14ac:dyDescent="0.2">
      <c r="A58" s="8" t="s">
        <v>391</v>
      </c>
      <c r="B58" s="37" t="s">
        <v>500</v>
      </c>
      <c r="C58" s="15"/>
      <c r="D58" s="15"/>
      <c r="E58" s="15"/>
      <c r="F58" s="12"/>
      <c r="G58" s="56" t="str">
        <f>IF(C58="","",IF(C58="Yes","Describe the structure and size of your Software and System Development teams (e.g. Customer Support, Implementation, Product Management, etc.)","Describe your current teams/organizational structure, as well as any plans to create dedicated teams."))</f>
        <v/>
      </c>
      <c r="H58" s="35"/>
      <c r="I58" s="36"/>
      <c r="J58" s="84"/>
      <c r="K58" s="84"/>
      <c r="L58" s="85">
        <f t="shared" si="0"/>
        <v>0</v>
      </c>
    </row>
    <row r="59" spans="1:176" s="1" customFormat="1" ht="54" customHeight="1" x14ac:dyDescent="0.2">
      <c r="A59" s="8" t="s">
        <v>392</v>
      </c>
      <c r="B59" s="37" t="s">
        <v>258</v>
      </c>
      <c r="C59" s="146"/>
      <c r="D59" s="146"/>
      <c r="E59" s="146"/>
      <c r="F59" s="146"/>
      <c r="G59" s="56" t="s">
        <v>255</v>
      </c>
      <c r="H59" s="35"/>
      <c r="I59" s="36"/>
      <c r="J59" s="84"/>
      <c r="K59" s="84"/>
      <c r="L59" s="85">
        <f t="shared" si="0"/>
        <v>0</v>
      </c>
    </row>
    <row r="60" spans="1:176" s="1" customFormat="1" ht="60.75" customHeight="1" x14ac:dyDescent="0.2">
      <c r="A60" s="120" t="s">
        <v>149</v>
      </c>
      <c r="B60" s="120"/>
      <c r="C60" s="2" t="s">
        <v>574</v>
      </c>
      <c r="D60" s="2" t="s">
        <v>575</v>
      </c>
      <c r="E60" s="2" t="s">
        <v>104</v>
      </c>
      <c r="F60" s="2" t="s">
        <v>17</v>
      </c>
      <c r="G60" s="2" t="s">
        <v>18</v>
      </c>
      <c r="H60" s="2" t="s">
        <v>353</v>
      </c>
      <c r="I60" s="2" t="s">
        <v>380</v>
      </c>
      <c r="J60" s="108" t="s">
        <v>628</v>
      </c>
      <c r="K60" s="109"/>
      <c r="L60" s="86">
        <f>SUM(L61:L75)</f>
        <v>0</v>
      </c>
    </row>
    <row r="61" spans="1:176" s="1" customFormat="1" ht="96" customHeight="1" x14ac:dyDescent="0.2">
      <c r="A61" s="8" t="s">
        <v>30</v>
      </c>
      <c r="B61" s="16" t="s">
        <v>502</v>
      </c>
      <c r="C61" s="111"/>
      <c r="D61" s="111"/>
      <c r="E61" s="111"/>
      <c r="F61" s="111"/>
      <c r="G61" s="56" t="s">
        <v>31</v>
      </c>
      <c r="H61" s="35"/>
      <c r="I61" s="36" t="s">
        <v>393</v>
      </c>
      <c r="J61" s="84"/>
      <c r="K61" s="84"/>
      <c r="L61" s="85">
        <f t="shared" ref="L61:L75" si="1">J61*K61</f>
        <v>0</v>
      </c>
    </row>
    <row r="62" spans="1:176" ht="80.099999999999994" customHeight="1" x14ac:dyDescent="0.2">
      <c r="A62" s="8" t="s">
        <v>32</v>
      </c>
      <c r="B62" s="16" t="s">
        <v>501</v>
      </c>
      <c r="C62" s="111"/>
      <c r="D62" s="111"/>
      <c r="E62" s="111"/>
      <c r="F62" s="111"/>
      <c r="G62" s="56" t="s">
        <v>558</v>
      </c>
      <c r="H62" s="35"/>
      <c r="I62" s="36"/>
      <c r="J62" s="84"/>
      <c r="K62" s="84"/>
      <c r="L62" s="85">
        <f t="shared" si="1"/>
        <v>0</v>
      </c>
      <c r="FT62"/>
    </row>
    <row r="63" spans="1:176" ht="80.099999999999994" customHeight="1" x14ac:dyDescent="0.2">
      <c r="A63" s="8" t="s">
        <v>165</v>
      </c>
      <c r="B63" s="16" t="s">
        <v>503</v>
      </c>
      <c r="C63" s="111"/>
      <c r="D63" s="111"/>
      <c r="E63" s="111"/>
      <c r="F63" s="111"/>
      <c r="G63" s="58"/>
      <c r="H63" s="35"/>
      <c r="I63" s="36" t="s">
        <v>394</v>
      </c>
      <c r="J63" s="84"/>
      <c r="K63" s="84"/>
      <c r="L63" s="85">
        <f t="shared" si="1"/>
        <v>0</v>
      </c>
      <c r="FT63"/>
    </row>
    <row r="64" spans="1:176" ht="80.099999999999994" customHeight="1" x14ac:dyDescent="0.2">
      <c r="A64" s="8" t="s">
        <v>34</v>
      </c>
      <c r="B64" s="16" t="s">
        <v>487</v>
      </c>
      <c r="C64" s="15"/>
      <c r="D64" s="15"/>
      <c r="E64" s="15"/>
      <c r="F64" s="19"/>
      <c r="G64" s="58" t="str">
        <f>IF(C64="","",IF(C64="Yes","Please describe this program and how it is maintained.","Please describe how you ensure integrity in absence of a program that ensures storage security."))</f>
        <v/>
      </c>
      <c r="H64" s="35">
        <v>2</v>
      </c>
      <c r="I64" s="36" t="s">
        <v>395</v>
      </c>
      <c r="J64" s="84"/>
      <c r="K64" s="84"/>
      <c r="L64" s="85">
        <f t="shared" si="1"/>
        <v>0</v>
      </c>
      <c r="FT64"/>
    </row>
    <row r="65" spans="1:176" ht="80.099999999999994" customHeight="1" x14ac:dyDescent="0.2">
      <c r="A65" s="8" t="s">
        <v>261</v>
      </c>
      <c r="B65" s="16" t="s">
        <v>343</v>
      </c>
      <c r="C65" s="15"/>
      <c r="D65" s="15"/>
      <c r="E65" s="15"/>
      <c r="F65" s="19"/>
      <c r="G65" s="58" t="str">
        <f>IF(C65="","",IF(C65="Yes","Please describe this process.","Please describe how the integrity of software is verified prior to use."))</f>
        <v/>
      </c>
      <c r="H65" s="35"/>
      <c r="I65" s="36" t="s">
        <v>396</v>
      </c>
      <c r="J65" s="84"/>
      <c r="K65" s="84"/>
      <c r="L65" s="85">
        <f t="shared" si="1"/>
        <v>0</v>
      </c>
      <c r="FT65"/>
    </row>
    <row r="66" spans="1:176" ht="80.099999999999994" customHeight="1" x14ac:dyDescent="0.2">
      <c r="A66" s="8" t="s">
        <v>269</v>
      </c>
      <c r="B66" s="16" t="s">
        <v>344</v>
      </c>
      <c r="C66" s="15"/>
      <c r="D66" s="15"/>
      <c r="E66" s="15"/>
      <c r="F66" s="19"/>
      <c r="G66" s="58" t="str">
        <f>IF(C66="","",IF(C66="Yes","Please describe this process.",""))</f>
        <v/>
      </c>
      <c r="H66" s="35"/>
      <c r="I66" s="36" t="s">
        <v>397</v>
      </c>
      <c r="J66" s="84"/>
      <c r="K66" s="84"/>
      <c r="L66" s="85">
        <f t="shared" si="1"/>
        <v>0</v>
      </c>
      <c r="FT66"/>
    </row>
    <row r="67" spans="1:176" ht="75.75" customHeight="1" x14ac:dyDescent="0.2">
      <c r="A67" s="8" t="s">
        <v>270</v>
      </c>
      <c r="B67" s="16" t="s">
        <v>488</v>
      </c>
      <c r="C67" s="15"/>
      <c r="D67" s="15"/>
      <c r="E67" s="15"/>
      <c r="F67" s="19"/>
      <c r="G67" s="58" t="str">
        <f>IF(C67="","",IF(C67="Yes","Please describe this process.",""))</f>
        <v/>
      </c>
      <c r="H67" s="35">
        <v>59</v>
      </c>
      <c r="I67" s="36" t="s">
        <v>398</v>
      </c>
      <c r="J67" s="84"/>
      <c r="K67" s="84"/>
      <c r="L67" s="85">
        <f t="shared" si="1"/>
        <v>0</v>
      </c>
      <c r="FT67"/>
    </row>
    <row r="68" spans="1:176" ht="80.099999999999994" customHeight="1" x14ac:dyDescent="0.2">
      <c r="A68" s="8" t="s">
        <v>271</v>
      </c>
      <c r="B68" s="16" t="s">
        <v>505</v>
      </c>
      <c r="C68" s="15"/>
      <c r="D68" s="15"/>
      <c r="E68" s="15"/>
      <c r="F68" s="19"/>
      <c r="G68" s="58" t="str">
        <f>IF(C68="","",IF(C68="Yes","Please describe or provide a reference to/copy of this policy.",""))</f>
        <v/>
      </c>
      <c r="H68" s="35">
        <v>48</v>
      </c>
      <c r="I68" s="36" t="s">
        <v>399</v>
      </c>
      <c r="J68" s="84"/>
      <c r="K68" s="84"/>
      <c r="L68" s="85">
        <f t="shared" si="1"/>
        <v>0</v>
      </c>
      <c r="FT68"/>
    </row>
    <row r="69" spans="1:176" ht="80.099999999999994" customHeight="1" x14ac:dyDescent="0.2">
      <c r="A69" s="8" t="s">
        <v>272</v>
      </c>
      <c r="B69" s="16" t="s">
        <v>604</v>
      </c>
      <c r="C69" s="15"/>
      <c r="D69" s="15"/>
      <c r="E69" s="15"/>
      <c r="F69" s="19"/>
      <c r="G69" s="58"/>
      <c r="H69" s="35">
        <v>23</v>
      </c>
      <c r="I69" s="36" t="s">
        <v>400</v>
      </c>
      <c r="J69" s="84"/>
      <c r="K69" s="84"/>
      <c r="L69" s="85">
        <f t="shared" si="1"/>
        <v>0</v>
      </c>
      <c r="FT69"/>
    </row>
    <row r="70" spans="1:176" ht="80.099999999999994" customHeight="1" x14ac:dyDescent="0.2">
      <c r="A70" s="8" t="s">
        <v>273</v>
      </c>
      <c r="B70" s="16" t="s">
        <v>280</v>
      </c>
      <c r="C70" s="15"/>
      <c r="D70" s="15"/>
      <c r="E70" s="15"/>
      <c r="F70" s="19"/>
      <c r="G70" s="58" t="str">
        <f>IF(C70="","",IF(C70="Yes","Can this information be shared with the utility?",""))</f>
        <v/>
      </c>
      <c r="H70" s="35" t="s">
        <v>594</v>
      </c>
      <c r="I70" s="36" t="s">
        <v>401</v>
      </c>
      <c r="J70" s="84"/>
      <c r="K70" s="84"/>
      <c r="L70" s="85">
        <f t="shared" si="1"/>
        <v>0</v>
      </c>
      <c r="FT70"/>
    </row>
    <row r="71" spans="1:176" ht="80.099999999999994" customHeight="1" x14ac:dyDescent="0.2">
      <c r="A71" s="8" t="s">
        <v>278</v>
      </c>
      <c r="B71" s="16" t="s">
        <v>305</v>
      </c>
      <c r="C71" s="121"/>
      <c r="D71" s="122"/>
      <c r="E71" s="122"/>
      <c r="F71" s="19"/>
      <c r="G71" s="58" t="str">
        <f>IF(C71="","",IF(C71="Yes","Please describe this aspect of your program in adequate detail.",""))</f>
        <v/>
      </c>
      <c r="H71" s="35">
        <v>39</v>
      </c>
      <c r="I71" s="36" t="s">
        <v>402</v>
      </c>
      <c r="J71" s="84"/>
      <c r="K71" s="84"/>
      <c r="L71" s="85">
        <f t="shared" si="1"/>
        <v>0</v>
      </c>
      <c r="FT71"/>
    </row>
    <row r="72" spans="1:176" ht="103.5" customHeight="1" x14ac:dyDescent="0.2">
      <c r="A72" s="8" t="s">
        <v>279</v>
      </c>
      <c r="B72" s="16" t="s">
        <v>506</v>
      </c>
      <c r="C72" s="15"/>
      <c r="D72" s="15"/>
      <c r="E72" s="15"/>
      <c r="F72" s="19"/>
      <c r="G72" s="58" t="str">
        <f>IF(C72="","",IF(C72="Yes","Please describe this process, including timeframe for and method by which notification is provided.",""))</f>
        <v/>
      </c>
      <c r="H72" s="35"/>
      <c r="I72" s="36" t="s">
        <v>403</v>
      </c>
      <c r="J72" s="84"/>
      <c r="K72" s="84"/>
      <c r="L72" s="85">
        <f t="shared" si="1"/>
        <v>0</v>
      </c>
      <c r="FT72"/>
    </row>
    <row r="73" spans="1:176" ht="80.099999999999994" customHeight="1" x14ac:dyDescent="0.2">
      <c r="A73" s="8" t="s">
        <v>304</v>
      </c>
      <c r="B73" s="16" t="s">
        <v>328</v>
      </c>
      <c r="C73" s="15"/>
      <c r="D73" s="15"/>
      <c r="E73" s="15"/>
      <c r="F73" s="19"/>
      <c r="G73" s="58"/>
      <c r="H73" s="35"/>
      <c r="I73" s="36"/>
      <c r="J73" s="84"/>
      <c r="K73" s="84"/>
      <c r="L73" s="85">
        <f t="shared" si="1"/>
        <v>0</v>
      </c>
      <c r="FT73"/>
    </row>
    <row r="74" spans="1:176" s="1" customFormat="1" ht="80.099999999999994" customHeight="1" x14ac:dyDescent="0.2">
      <c r="A74" s="8" t="s">
        <v>310</v>
      </c>
      <c r="B74" s="18" t="s">
        <v>507</v>
      </c>
      <c r="C74" s="111"/>
      <c r="D74" s="111"/>
      <c r="E74" s="111"/>
      <c r="F74" s="111"/>
      <c r="G74" s="56" t="s">
        <v>33</v>
      </c>
      <c r="H74" s="35"/>
      <c r="I74" s="36"/>
      <c r="J74" s="84"/>
      <c r="K74" s="84"/>
      <c r="L74" s="85">
        <f t="shared" si="1"/>
        <v>0</v>
      </c>
    </row>
    <row r="75" spans="1:176" s="1" customFormat="1" ht="80.099999999999994" customHeight="1" x14ac:dyDescent="0.2">
      <c r="A75" s="8" t="s">
        <v>327</v>
      </c>
      <c r="B75" s="3" t="s">
        <v>482</v>
      </c>
      <c r="C75" s="111"/>
      <c r="D75" s="111"/>
      <c r="E75" s="111"/>
      <c r="F75" s="111"/>
      <c r="G75" s="56" t="s">
        <v>163</v>
      </c>
      <c r="H75" s="35"/>
      <c r="I75" s="36"/>
      <c r="J75" s="84"/>
      <c r="K75" s="84"/>
      <c r="L75" s="85">
        <f t="shared" si="1"/>
        <v>0</v>
      </c>
    </row>
    <row r="76" spans="1:176" ht="73.5" customHeight="1" x14ac:dyDescent="0.2">
      <c r="A76" s="120" t="s">
        <v>164</v>
      </c>
      <c r="B76" s="120"/>
      <c r="C76" s="2" t="s">
        <v>574</v>
      </c>
      <c r="D76" s="2" t="s">
        <v>575</v>
      </c>
      <c r="E76" s="2" t="s">
        <v>104</v>
      </c>
      <c r="F76" s="2" t="s">
        <v>17</v>
      </c>
      <c r="G76" s="2" t="s">
        <v>18</v>
      </c>
      <c r="H76" s="2" t="s">
        <v>353</v>
      </c>
      <c r="I76" s="2" t="s">
        <v>380</v>
      </c>
      <c r="J76" s="108" t="s">
        <v>628</v>
      </c>
      <c r="K76" s="109"/>
      <c r="L76" s="86">
        <f>SUM(L77:L89)</f>
        <v>0</v>
      </c>
      <c r="FT76"/>
    </row>
    <row r="77" spans="1:176" ht="84.75" customHeight="1" x14ac:dyDescent="0.2">
      <c r="A77" s="8" t="s">
        <v>285</v>
      </c>
      <c r="B77" s="20" t="s">
        <v>508</v>
      </c>
      <c r="C77" s="121"/>
      <c r="D77" s="122"/>
      <c r="E77" s="122"/>
      <c r="F77" s="14"/>
      <c r="G77" s="58" t="str">
        <f>IF(C77="","",IF(C77="Yes","Summarize background check practices including level (e.g. seven-year background checks) and list of any exempted employees or contactors due to restrictions by country of employment.","State plans to implement background checks into your hiring process."))</f>
        <v/>
      </c>
      <c r="H77" s="35" t="s">
        <v>481</v>
      </c>
      <c r="I77" s="36" t="s">
        <v>480</v>
      </c>
      <c r="J77" s="84"/>
      <c r="K77" s="84"/>
      <c r="L77" s="85">
        <f t="shared" ref="L77:L141" si="2">J77*K77</f>
        <v>0</v>
      </c>
      <c r="FT77"/>
    </row>
    <row r="78" spans="1:176" ht="71.25" customHeight="1" x14ac:dyDescent="0.2">
      <c r="A78" s="22" t="s">
        <v>586</v>
      </c>
      <c r="B78" s="20" t="s">
        <v>587</v>
      </c>
      <c r="C78" s="121"/>
      <c r="D78" s="122"/>
      <c r="E78" s="122"/>
      <c r="F78" s="14"/>
      <c r="G78" s="58" t="str">
        <f>IF(C78="","",IF(C78="Yes","Provide frequency that supplier's process requires and list of any exempted employees or contactors due to the personnel's area of responsibility or restrictions by country of employment.",""))</f>
        <v/>
      </c>
      <c r="H78" s="35" t="s">
        <v>481</v>
      </c>
      <c r="I78" s="36" t="s">
        <v>480</v>
      </c>
      <c r="J78" s="84"/>
      <c r="K78" s="84"/>
      <c r="L78" s="85">
        <f t="shared" si="2"/>
        <v>0</v>
      </c>
      <c r="FT78"/>
    </row>
    <row r="79" spans="1:176" ht="74.25" customHeight="1" x14ac:dyDescent="0.2">
      <c r="A79" s="8" t="s">
        <v>286</v>
      </c>
      <c r="B79" s="20" t="s">
        <v>605</v>
      </c>
      <c r="C79" s="121"/>
      <c r="D79" s="122"/>
      <c r="E79" s="122"/>
      <c r="F79" s="14"/>
      <c r="G79" s="58"/>
      <c r="H79" s="35">
        <v>3</v>
      </c>
      <c r="I79" s="36" t="s">
        <v>405</v>
      </c>
      <c r="J79" s="84"/>
      <c r="K79" s="84"/>
      <c r="L79" s="85">
        <f t="shared" si="2"/>
        <v>0</v>
      </c>
      <c r="FT79"/>
    </row>
    <row r="80" spans="1:176" ht="94.5" customHeight="1" x14ac:dyDescent="0.2">
      <c r="A80" s="8" t="s">
        <v>287</v>
      </c>
      <c r="B80" s="20" t="s">
        <v>406</v>
      </c>
      <c r="C80" s="123"/>
      <c r="D80" s="124"/>
      <c r="E80" s="124"/>
      <c r="F80" s="125"/>
      <c r="G80" s="58"/>
      <c r="H80" s="36" t="s">
        <v>407</v>
      </c>
      <c r="I80" s="36" t="s">
        <v>408</v>
      </c>
      <c r="J80" s="84"/>
      <c r="K80" s="84"/>
      <c r="L80" s="85">
        <f t="shared" si="2"/>
        <v>0</v>
      </c>
      <c r="FT80"/>
    </row>
    <row r="81" spans="1:176" ht="70.5" customHeight="1" x14ac:dyDescent="0.2">
      <c r="A81" s="8" t="s">
        <v>288</v>
      </c>
      <c r="B81" s="20" t="s">
        <v>351</v>
      </c>
      <c r="C81" s="15"/>
      <c r="D81" s="15"/>
      <c r="E81" s="15"/>
      <c r="F81" s="21"/>
      <c r="G81" s="58"/>
      <c r="H81" s="35">
        <v>11</v>
      </c>
      <c r="I81" s="36" t="s">
        <v>409</v>
      </c>
      <c r="J81" s="84"/>
      <c r="K81" s="84"/>
      <c r="L81" s="85">
        <f t="shared" si="2"/>
        <v>0</v>
      </c>
      <c r="FT81"/>
    </row>
    <row r="82" spans="1:176" ht="68.25" customHeight="1" x14ac:dyDescent="0.2">
      <c r="A82" s="8" t="s">
        <v>289</v>
      </c>
      <c r="B82" s="20" t="s">
        <v>410</v>
      </c>
      <c r="C82" s="15"/>
      <c r="D82" s="15"/>
      <c r="E82" s="15"/>
      <c r="F82" s="21"/>
      <c r="G82" s="58"/>
      <c r="H82" s="35">
        <v>12</v>
      </c>
      <c r="I82" s="36" t="s">
        <v>411</v>
      </c>
      <c r="J82" s="84"/>
      <c r="K82" s="84"/>
      <c r="L82" s="85">
        <f t="shared" si="2"/>
        <v>0</v>
      </c>
      <c r="FT82"/>
    </row>
    <row r="83" spans="1:176" ht="96.75" customHeight="1" x14ac:dyDescent="0.2">
      <c r="A83" s="8" t="s">
        <v>284</v>
      </c>
      <c r="B83" s="20" t="s">
        <v>606</v>
      </c>
      <c r="C83" s="15"/>
      <c r="D83" s="15"/>
      <c r="E83" s="15"/>
      <c r="F83" s="21"/>
      <c r="G83" s="58"/>
      <c r="H83" s="35">
        <v>10</v>
      </c>
      <c r="I83" s="36" t="s">
        <v>412</v>
      </c>
      <c r="J83" s="84"/>
      <c r="K83" s="84"/>
      <c r="L83" s="85">
        <f t="shared" si="2"/>
        <v>0</v>
      </c>
      <c r="FT83"/>
    </row>
    <row r="84" spans="1:176" ht="68.25" customHeight="1" x14ac:dyDescent="0.2">
      <c r="A84" s="8" t="s">
        <v>283</v>
      </c>
      <c r="B84" s="20" t="s">
        <v>413</v>
      </c>
      <c r="C84" s="15"/>
      <c r="D84" s="15"/>
      <c r="E84" s="15"/>
      <c r="F84" s="21"/>
      <c r="G84" s="58"/>
      <c r="H84" s="35">
        <v>47</v>
      </c>
      <c r="I84" s="36" t="s">
        <v>414</v>
      </c>
      <c r="J84" s="84"/>
      <c r="K84" s="84"/>
      <c r="L84" s="85">
        <f t="shared" si="2"/>
        <v>0</v>
      </c>
      <c r="FT84"/>
    </row>
    <row r="85" spans="1:176" ht="88.5" customHeight="1" x14ac:dyDescent="0.2">
      <c r="A85" s="8" t="s">
        <v>358</v>
      </c>
      <c r="B85" s="20" t="s">
        <v>345</v>
      </c>
      <c r="C85" s="126"/>
      <c r="D85" s="127"/>
      <c r="E85" s="127"/>
      <c r="F85" s="21"/>
      <c r="G85" s="58" t="str">
        <f>IF(C85="","",IF(C85="Yes","Summarize your securing coding training and state how frequently employees are required to undergo this training.","State plans to make secure coding training mandatory for all developers."))</f>
        <v/>
      </c>
      <c r="H85" s="35"/>
      <c r="I85" s="36" t="s">
        <v>415</v>
      </c>
      <c r="J85" s="84"/>
      <c r="K85" s="84"/>
      <c r="L85" s="85">
        <f t="shared" si="2"/>
        <v>0</v>
      </c>
      <c r="FT85"/>
    </row>
    <row r="86" spans="1:176" ht="141.75" customHeight="1" x14ac:dyDescent="0.2">
      <c r="A86" s="8" t="s">
        <v>359</v>
      </c>
      <c r="B86" s="20" t="s">
        <v>509</v>
      </c>
      <c r="C86" s="126"/>
      <c r="D86" s="127"/>
      <c r="E86" s="127"/>
      <c r="F86" s="21"/>
      <c r="G86" s="58"/>
      <c r="H86" s="35"/>
      <c r="I86" s="36" t="s">
        <v>404</v>
      </c>
      <c r="J86" s="84"/>
      <c r="K86" s="84"/>
      <c r="L86" s="85">
        <f t="shared" si="2"/>
        <v>0</v>
      </c>
      <c r="FT86"/>
    </row>
    <row r="87" spans="1:176" ht="87" customHeight="1" x14ac:dyDescent="0.2">
      <c r="A87" s="8" t="s">
        <v>360</v>
      </c>
      <c r="B87" s="20" t="s">
        <v>510</v>
      </c>
      <c r="C87" s="123"/>
      <c r="D87" s="124"/>
      <c r="E87" s="124"/>
      <c r="F87" s="125"/>
      <c r="G87" s="58"/>
      <c r="H87" s="35"/>
      <c r="I87" s="36"/>
      <c r="J87" s="84"/>
      <c r="K87" s="84"/>
      <c r="L87" s="85">
        <f t="shared" si="2"/>
        <v>0</v>
      </c>
      <c r="FT87"/>
    </row>
    <row r="88" spans="1:176" ht="72" customHeight="1" x14ac:dyDescent="0.2">
      <c r="A88" s="8" t="s">
        <v>416</v>
      </c>
      <c r="B88" s="20" t="s">
        <v>607</v>
      </c>
      <c r="C88" s="121"/>
      <c r="D88" s="122"/>
      <c r="E88" s="122"/>
      <c r="F88" s="14"/>
      <c r="G88" s="58" t="str">
        <f>IF(C88="","",IF(C88="Yes","Summarize the required agreements and reviewed policies.","Summarize why new employees are not required to accept agreements or review policy, as well as any practices that are conducted with new employees."))</f>
        <v/>
      </c>
      <c r="H88" s="35"/>
      <c r="I88" s="36"/>
      <c r="J88" s="84"/>
      <c r="K88" s="84"/>
      <c r="L88" s="85">
        <f t="shared" si="2"/>
        <v>0</v>
      </c>
      <c r="FT88"/>
    </row>
    <row r="89" spans="1:176" ht="62.25" customHeight="1" x14ac:dyDescent="0.2">
      <c r="A89" s="8" t="s">
        <v>417</v>
      </c>
      <c r="B89" s="20" t="s">
        <v>608</v>
      </c>
      <c r="C89" s="121"/>
      <c r="D89" s="122"/>
      <c r="E89" s="122"/>
      <c r="F89" s="14"/>
      <c r="G89" s="58" t="str">
        <f>IF(C89="","",IF(C89="Yes","Summarize your security awareness and privacy training content and state how frequently employees are required to undergo security awareness training.","State plans to make security awareness training mandatory for all employees."))</f>
        <v/>
      </c>
      <c r="H89" s="35"/>
      <c r="I89" s="36"/>
      <c r="J89" s="84"/>
      <c r="K89" s="84"/>
      <c r="L89" s="85">
        <f t="shared" si="2"/>
        <v>0</v>
      </c>
      <c r="FT89"/>
    </row>
    <row r="90" spans="1:176" ht="54" x14ac:dyDescent="0.2">
      <c r="A90" s="120" t="s">
        <v>147</v>
      </c>
      <c r="B90" s="120"/>
      <c r="C90" s="2" t="s">
        <v>574</v>
      </c>
      <c r="D90" s="2" t="s">
        <v>575</v>
      </c>
      <c r="E90" s="2" t="s">
        <v>104</v>
      </c>
      <c r="F90" s="2" t="s">
        <v>17</v>
      </c>
      <c r="G90" s="2" t="s">
        <v>18</v>
      </c>
      <c r="H90" s="2" t="s">
        <v>353</v>
      </c>
      <c r="I90" s="2" t="s">
        <v>380</v>
      </c>
      <c r="J90" s="108" t="s">
        <v>628</v>
      </c>
      <c r="K90" s="109"/>
      <c r="L90" s="86">
        <f>SUM(L91:L120)</f>
        <v>0</v>
      </c>
      <c r="FT90"/>
    </row>
    <row r="91" spans="1:176" s="1" customFormat="1" ht="53.25" customHeight="1" x14ac:dyDescent="0.2">
      <c r="A91" s="8" t="s">
        <v>167</v>
      </c>
      <c r="B91" s="3" t="s">
        <v>133</v>
      </c>
      <c r="C91" s="52"/>
      <c r="D91" s="52"/>
      <c r="E91" s="52"/>
      <c r="F91" s="33"/>
      <c r="G91" s="58"/>
      <c r="H91" s="35"/>
      <c r="I91" s="36"/>
      <c r="J91" s="84"/>
      <c r="K91" s="87"/>
      <c r="L91" s="85">
        <f t="shared" si="2"/>
        <v>0</v>
      </c>
    </row>
    <row r="92" spans="1:176" s="1" customFormat="1" ht="58.5" customHeight="1" x14ac:dyDescent="0.2">
      <c r="A92" s="8" t="s">
        <v>168</v>
      </c>
      <c r="B92" s="3" t="s">
        <v>511</v>
      </c>
      <c r="C92" s="15"/>
      <c r="D92" s="15"/>
      <c r="E92" s="15"/>
      <c r="F92" s="33"/>
      <c r="G92" s="58" t="str">
        <f>IF(C92="","",IF(C92="Yes","Please provide a high-level description of the major components of this program.","Describe plans to implement such an identity and access management program."))</f>
        <v/>
      </c>
      <c r="H92" s="35">
        <v>1</v>
      </c>
      <c r="I92" s="36" t="s">
        <v>418</v>
      </c>
      <c r="J92" s="84"/>
      <c r="K92" s="87"/>
      <c r="L92" s="85">
        <f t="shared" si="2"/>
        <v>0</v>
      </c>
    </row>
    <row r="93" spans="1:176" s="1" customFormat="1" ht="66" customHeight="1" x14ac:dyDescent="0.2">
      <c r="A93" s="8" t="s">
        <v>169</v>
      </c>
      <c r="B93" s="3" t="s">
        <v>512</v>
      </c>
      <c r="C93" s="15"/>
      <c r="D93" s="15"/>
      <c r="E93" s="15"/>
      <c r="F93" s="14"/>
      <c r="G93" s="58"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3" s="35">
        <v>1.1000000000000001</v>
      </c>
      <c r="I93" s="36"/>
      <c r="J93" s="84"/>
      <c r="K93" s="87"/>
      <c r="L93" s="85">
        <f t="shared" si="2"/>
        <v>0</v>
      </c>
    </row>
    <row r="94" spans="1:176" s="1" customFormat="1" ht="60.75" customHeight="1" x14ac:dyDescent="0.2">
      <c r="A94" s="8" t="s">
        <v>170</v>
      </c>
      <c r="B94" s="20" t="s">
        <v>263</v>
      </c>
      <c r="C94" s="15"/>
      <c r="D94" s="15"/>
      <c r="E94" s="15"/>
      <c r="F94" s="23"/>
      <c r="G94" s="56" t="str">
        <f>IF(C94="","",IF(C94="Yes","Please describe the approval process.","Please describe how access is granted and managed."))</f>
        <v/>
      </c>
      <c r="H94" s="35">
        <v>5</v>
      </c>
      <c r="I94" s="36" t="s">
        <v>419</v>
      </c>
      <c r="J94" s="84"/>
      <c r="K94" s="87"/>
      <c r="L94" s="85">
        <f t="shared" si="2"/>
        <v>0</v>
      </c>
    </row>
    <row r="95" spans="1:176" s="1" customFormat="1" ht="69.75" customHeight="1" x14ac:dyDescent="0.2">
      <c r="A95" s="8" t="s">
        <v>171</v>
      </c>
      <c r="B95" s="20" t="s">
        <v>609</v>
      </c>
      <c r="C95" s="15"/>
      <c r="D95" s="15"/>
      <c r="E95" s="15"/>
      <c r="F95" s="23"/>
      <c r="G95" s="56"/>
      <c r="H95" s="36">
        <v>6</v>
      </c>
      <c r="I95" s="36" t="s">
        <v>420</v>
      </c>
      <c r="J95" s="84"/>
      <c r="K95" s="87"/>
      <c r="L95" s="85">
        <f t="shared" si="2"/>
        <v>0</v>
      </c>
    </row>
    <row r="96" spans="1:176" s="1" customFormat="1" ht="63" customHeight="1" x14ac:dyDescent="0.2">
      <c r="A96" s="8" t="s">
        <v>361</v>
      </c>
      <c r="B96" s="20" t="s">
        <v>610</v>
      </c>
      <c r="C96" s="15"/>
      <c r="D96" s="15"/>
      <c r="E96" s="15"/>
      <c r="F96" s="23"/>
      <c r="G96" s="56"/>
      <c r="H96" s="36">
        <v>8</v>
      </c>
      <c r="I96" s="36" t="s">
        <v>421</v>
      </c>
      <c r="J96" s="84"/>
      <c r="K96" s="87"/>
      <c r="L96" s="85">
        <f t="shared" si="2"/>
        <v>0</v>
      </c>
    </row>
    <row r="97" spans="1:176" s="1" customFormat="1" ht="66" customHeight="1" x14ac:dyDescent="0.2">
      <c r="A97" s="8" t="s">
        <v>172</v>
      </c>
      <c r="B97" s="20" t="s">
        <v>355</v>
      </c>
      <c r="C97" s="15"/>
      <c r="D97" s="15"/>
      <c r="E97" s="15"/>
      <c r="F97" s="23"/>
      <c r="G97" s="56" t="str">
        <f>IF(C97="","",IF(C97="Yes","","If not reviewed annually, please provide frequency. If not reviewed, please state plans to implement periodic access reviews."))</f>
        <v/>
      </c>
      <c r="H97" s="36">
        <v>7</v>
      </c>
      <c r="I97" s="36" t="s">
        <v>422</v>
      </c>
      <c r="J97" s="84"/>
      <c r="K97" s="87"/>
      <c r="L97" s="85">
        <f t="shared" si="2"/>
        <v>0</v>
      </c>
    </row>
    <row r="98" spans="1:176" s="1" customFormat="1" ht="66.75" customHeight="1" x14ac:dyDescent="0.2">
      <c r="A98" s="8" t="s">
        <v>173</v>
      </c>
      <c r="B98" s="20" t="s">
        <v>350</v>
      </c>
      <c r="C98" s="15"/>
      <c r="D98" s="15"/>
      <c r="E98" s="15"/>
      <c r="F98" s="23"/>
      <c r="G98" s="56" t="str">
        <f>IF(C98="","",IF(C98="Yes","","If not reviewed annually, please provide frequency. If not reviewed, please state plans to implement periodic access reviews."))</f>
        <v/>
      </c>
      <c r="H98" s="35">
        <v>9</v>
      </c>
      <c r="I98" s="36" t="s">
        <v>423</v>
      </c>
      <c r="J98" s="84"/>
      <c r="K98" s="87"/>
      <c r="L98" s="85">
        <f t="shared" si="2"/>
        <v>0</v>
      </c>
    </row>
    <row r="99" spans="1:176" s="1" customFormat="1" ht="37.5" customHeight="1" x14ac:dyDescent="0.2">
      <c r="A99" s="8" t="s">
        <v>174</v>
      </c>
      <c r="B99" s="20" t="s">
        <v>106</v>
      </c>
      <c r="C99" s="15"/>
      <c r="D99" s="15"/>
      <c r="E99" s="15"/>
      <c r="F99" s="24"/>
      <c r="G99" s="56" t="str">
        <f>IF(C99="","",IF(C99="Yes","Submit documentation and/or web resources as to how remote access is provided, including security controls on the access (i.e., is multifactor authentication used?).","Provide details that prevent this capability."))</f>
        <v/>
      </c>
      <c r="H99" s="35"/>
      <c r="I99" s="36"/>
      <c r="J99" s="84"/>
      <c r="K99" s="87"/>
      <c r="L99" s="85">
        <f t="shared" si="2"/>
        <v>0</v>
      </c>
    </row>
    <row r="100" spans="1:176" s="1" customFormat="1" ht="68.25" customHeight="1" x14ac:dyDescent="0.2">
      <c r="A100" s="8" t="s">
        <v>175</v>
      </c>
      <c r="B100" s="20" t="s">
        <v>611</v>
      </c>
      <c r="C100" s="15"/>
      <c r="D100" s="15"/>
      <c r="E100" s="15"/>
      <c r="F100" s="24"/>
      <c r="G100" s="56"/>
      <c r="H100" s="35">
        <v>14</v>
      </c>
      <c r="I100" s="36" t="s">
        <v>424</v>
      </c>
      <c r="J100" s="84"/>
      <c r="K100" s="87"/>
      <c r="L100" s="85">
        <f t="shared" si="2"/>
        <v>0</v>
      </c>
    </row>
    <row r="101" spans="1:176" s="1" customFormat="1" ht="66.75" customHeight="1" x14ac:dyDescent="0.2">
      <c r="A101" s="8" t="s">
        <v>176</v>
      </c>
      <c r="B101" s="20" t="s">
        <v>346</v>
      </c>
      <c r="C101" s="15"/>
      <c r="D101" s="15"/>
      <c r="E101" s="15"/>
      <c r="F101" s="23"/>
      <c r="G101" s="58" t="str">
        <f>IF(C101="","",IF(C101="Yes","Please describe the reason for remote access as well as the process for achieving it.","Please describe in sufficient detail."))</f>
        <v/>
      </c>
      <c r="H101" s="35">
        <v>15</v>
      </c>
      <c r="I101" s="36" t="s">
        <v>425</v>
      </c>
      <c r="J101" s="84"/>
      <c r="K101" s="87"/>
      <c r="L101" s="85">
        <f t="shared" si="2"/>
        <v>0</v>
      </c>
    </row>
    <row r="102" spans="1:176" s="1" customFormat="1" ht="66" customHeight="1" x14ac:dyDescent="0.2">
      <c r="A102" s="8" t="s">
        <v>177</v>
      </c>
      <c r="B102" s="20" t="s">
        <v>513</v>
      </c>
      <c r="C102" s="15"/>
      <c r="D102" s="15"/>
      <c r="E102" s="15"/>
      <c r="F102" s="23"/>
      <c r="G102" s="58" t="str">
        <f>IF(C102="","",IF(C102="Yes","Please describe how remote access sessions are ended.",""))</f>
        <v/>
      </c>
      <c r="H102" s="35">
        <v>17</v>
      </c>
      <c r="I102" s="36" t="s">
        <v>426</v>
      </c>
      <c r="J102" s="84"/>
      <c r="K102" s="87"/>
      <c r="L102" s="85">
        <f t="shared" si="2"/>
        <v>0</v>
      </c>
    </row>
    <row r="103" spans="1:176" s="1" customFormat="1" ht="84" customHeight="1" x14ac:dyDescent="0.2">
      <c r="A103" s="8" t="s">
        <v>178</v>
      </c>
      <c r="B103" s="20" t="s">
        <v>654</v>
      </c>
      <c r="C103" s="15"/>
      <c r="D103" s="15"/>
      <c r="E103" s="15"/>
      <c r="F103" s="23"/>
      <c r="G103" s="58" t="str">
        <f>IF(C103="","",IF(C103="Yes","Please describe how this is accomplished.",""))</f>
        <v/>
      </c>
      <c r="H103" s="35">
        <v>19</v>
      </c>
      <c r="I103" s="36" t="s">
        <v>427</v>
      </c>
      <c r="J103" s="84"/>
      <c r="K103" s="87"/>
      <c r="L103" s="85">
        <f t="shared" si="2"/>
        <v>0</v>
      </c>
    </row>
    <row r="104" spans="1:176" ht="48" customHeight="1" x14ac:dyDescent="0.2">
      <c r="A104" s="8" t="s">
        <v>179</v>
      </c>
      <c r="B104" s="20" t="s">
        <v>145</v>
      </c>
      <c r="C104" s="15"/>
      <c r="D104" s="15"/>
      <c r="E104" s="15"/>
      <c r="F104" s="21"/>
      <c r="G104" s="58" t="str">
        <f>IF(C104="","",IF(C104="Yes","Describe how aging requirements are implemented, including expiration timeframes.","Describe plans to support password/passphrase aging requirements."))</f>
        <v/>
      </c>
      <c r="H104" s="35"/>
      <c r="I104" s="36"/>
      <c r="J104" s="84"/>
      <c r="K104" s="87"/>
      <c r="L104" s="85">
        <f t="shared" si="2"/>
        <v>0</v>
      </c>
      <c r="FT104"/>
    </row>
    <row r="105" spans="1:176" s="1" customFormat="1" ht="48" customHeight="1" x14ac:dyDescent="0.2">
      <c r="A105" s="8" t="s">
        <v>180</v>
      </c>
      <c r="B105" s="20" t="s">
        <v>141</v>
      </c>
      <c r="C105" s="15"/>
      <c r="D105" s="15"/>
      <c r="E105" s="15"/>
      <c r="F105" s="21"/>
      <c r="G105" s="58"/>
      <c r="H105" s="35"/>
      <c r="I105" s="36"/>
      <c r="J105" s="84"/>
      <c r="K105" s="87"/>
      <c r="L105" s="85">
        <f t="shared" si="2"/>
        <v>0</v>
      </c>
    </row>
    <row r="106" spans="1:176" s="1" customFormat="1" ht="48" customHeight="1" x14ac:dyDescent="0.2">
      <c r="A106" s="22" t="s">
        <v>640</v>
      </c>
      <c r="B106" s="20" t="s">
        <v>641</v>
      </c>
      <c r="C106" s="15"/>
      <c r="D106" s="15"/>
      <c r="E106" s="15"/>
      <c r="F106" s="21"/>
      <c r="G106" s="58" t="str">
        <f>IF(C106="","",IF(C106="Yes","Describe your policy for preventing the use of shared accounts and shared credentials.","Describe plans to prevent the use of shared accounts and shared passwords."))</f>
        <v/>
      </c>
      <c r="H106" s="35"/>
      <c r="I106" s="36"/>
      <c r="J106" s="84"/>
      <c r="K106" s="87"/>
      <c r="L106" s="85">
        <f t="shared" si="2"/>
        <v>0</v>
      </c>
    </row>
    <row r="107" spans="1:176" s="1" customFormat="1" ht="65.099999999999994" customHeight="1" x14ac:dyDescent="0.2">
      <c r="A107" s="8" t="s">
        <v>181</v>
      </c>
      <c r="B107" s="20" t="s">
        <v>109</v>
      </c>
      <c r="C107" s="15"/>
      <c r="D107" s="15"/>
      <c r="E107" s="15"/>
      <c r="F107" s="25"/>
      <c r="G107" s="58" t="str">
        <f>IF(C107="","",IF(C107="Yes","Describe your documented password/passphrase reset procedures that are currently implemented in the system and/or customer support.","Describe your plans to document system password/passphrase reset procedures."))</f>
        <v/>
      </c>
      <c r="H107" s="35"/>
      <c r="I107" s="36"/>
      <c r="J107" s="84"/>
      <c r="K107" s="87"/>
      <c r="L107" s="85">
        <f t="shared" si="2"/>
        <v>0</v>
      </c>
    </row>
    <row r="108" spans="1:176" s="1" customFormat="1" ht="63.95" customHeight="1" x14ac:dyDescent="0.2">
      <c r="A108" s="8" t="s">
        <v>182</v>
      </c>
      <c r="B108" s="20" t="s">
        <v>110</v>
      </c>
      <c r="C108" s="15"/>
      <c r="D108" s="15"/>
      <c r="E108" s="15"/>
      <c r="F108" s="21"/>
      <c r="G108" s="58" t="str">
        <f>IF(C108="","",IF(C108="Yes","Provide a detailed description of passwords/passphrases hard-coded into your systems or products.",""))</f>
        <v/>
      </c>
      <c r="H108" s="35"/>
      <c r="I108" s="36"/>
      <c r="J108" s="84"/>
      <c r="K108" s="87"/>
      <c r="L108" s="85">
        <f t="shared" si="2"/>
        <v>0</v>
      </c>
    </row>
    <row r="109" spans="1:176" s="1" customFormat="1" ht="30.95" customHeight="1" x14ac:dyDescent="0.2">
      <c r="A109" s="8" t="s">
        <v>183</v>
      </c>
      <c r="B109" s="20" t="s">
        <v>111</v>
      </c>
      <c r="C109" s="15"/>
      <c r="D109" s="15"/>
      <c r="E109" s="15"/>
      <c r="F109" s="21"/>
      <c r="G109" s="58" t="str">
        <f>IF(C109="","",IF(C109="Yes","Provide a detailed description stating why user account passwords/passphrases are visible by administrators.",""))</f>
        <v/>
      </c>
      <c r="H109" s="35"/>
      <c r="I109" s="36"/>
      <c r="J109" s="84"/>
      <c r="K109" s="87"/>
      <c r="L109" s="85">
        <f t="shared" si="2"/>
        <v>0</v>
      </c>
    </row>
    <row r="110" spans="1:176" s="1" customFormat="1" ht="60" customHeight="1" x14ac:dyDescent="0.2">
      <c r="A110" s="8" t="s">
        <v>262</v>
      </c>
      <c r="B110" s="20" t="s">
        <v>655</v>
      </c>
      <c r="C110" s="15"/>
      <c r="D110" s="15"/>
      <c r="E110" s="15"/>
      <c r="F110" s="21"/>
      <c r="G110" s="58" t="str">
        <f>IF(C110="","",IF(C110="Yes","Describe or provide a reference to the algorithm/strategy that is used to encrypt in transit and at rest passwords/passphrases/credentials.","Provide a detailed description stating why user account passwords/passphrases/credentials are not encrypted in transit and at rest."))</f>
        <v/>
      </c>
      <c r="H110" s="35"/>
      <c r="I110" s="36"/>
      <c r="J110" s="84"/>
      <c r="K110" s="87"/>
      <c r="L110" s="85">
        <f t="shared" si="2"/>
        <v>0</v>
      </c>
    </row>
    <row r="111" spans="1:176" s="1" customFormat="1" ht="103.5" customHeight="1" x14ac:dyDescent="0.2">
      <c r="A111" s="8" t="s">
        <v>264</v>
      </c>
      <c r="B111" s="20" t="s">
        <v>489</v>
      </c>
      <c r="C111" s="52"/>
      <c r="D111" s="52"/>
      <c r="E111" s="52"/>
      <c r="F111" s="21"/>
      <c r="G111" s="58" t="s">
        <v>143</v>
      </c>
      <c r="H111" s="35"/>
      <c r="I111" s="36"/>
      <c r="J111" s="84"/>
      <c r="K111" s="87"/>
      <c r="L111" s="85">
        <f t="shared" si="2"/>
        <v>0</v>
      </c>
    </row>
    <row r="112" spans="1:176" s="1" customFormat="1" ht="103.5" customHeight="1" x14ac:dyDescent="0.2">
      <c r="A112" s="8" t="s">
        <v>266</v>
      </c>
      <c r="B112" s="20" t="s">
        <v>490</v>
      </c>
      <c r="C112" s="52"/>
      <c r="D112" s="52"/>
      <c r="E112" s="52"/>
      <c r="F112" s="21"/>
      <c r="G112" s="58"/>
      <c r="H112" s="35"/>
      <c r="I112" s="36"/>
      <c r="J112" s="84"/>
      <c r="K112" s="87"/>
      <c r="L112" s="85">
        <f t="shared" si="2"/>
        <v>0</v>
      </c>
    </row>
    <row r="113" spans="1:12" s="1" customFormat="1" ht="67.5" customHeight="1" x14ac:dyDescent="0.2">
      <c r="A113" s="8" t="s">
        <v>267</v>
      </c>
      <c r="B113" s="20" t="s">
        <v>491</v>
      </c>
      <c r="C113" s="15"/>
      <c r="D113" s="15"/>
      <c r="E113" s="15"/>
      <c r="F113" s="21"/>
      <c r="G113" s="58" t="str">
        <f>IF(C113="","",IF(C113="Yes","Describe all authentication services supported by the system.","Describe any plans to support external authentication services in place of local authentication."))</f>
        <v/>
      </c>
      <c r="H113" s="35"/>
      <c r="I113" s="36"/>
      <c r="J113" s="84"/>
      <c r="K113" s="87"/>
      <c r="L113" s="85">
        <f t="shared" si="2"/>
        <v>0</v>
      </c>
    </row>
    <row r="114" spans="1:12" s="1" customFormat="1" ht="57.75" customHeight="1" x14ac:dyDescent="0.2">
      <c r="A114" s="8" t="s">
        <v>268</v>
      </c>
      <c r="B114" s="20" t="s">
        <v>259</v>
      </c>
      <c r="C114" s="15"/>
      <c r="D114" s="15"/>
      <c r="E114" s="15"/>
      <c r="F114" s="21"/>
      <c r="G114" s="58" t="str">
        <f>IF(C114="","",IF(C114="Yes","Provide a description of logging capabilities. Ensure that all elements of IAM-24 are evaluated for your response.","Describe any plans to enable audit logs for these data elements."))</f>
        <v/>
      </c>
      <c r="H114" s="35"/>
      <c r="I114" s="36"/>
      <c r="J114" s="84"/>
      <c r="K114" s="87"/>
      <c r="L114" s="85">
        <f t="shared" si="2"/>
        <v>0</v>
      </c>
    </row>
    <row r="115" spans="1:12" s="1" customFormat="1" ht="105" customHeight="1" x14ac:dyDescent="0.2">
      <c r="A115" s="8" t="s">
        <v>290</v>
      </c>
      <c r="B115" s="20" t="s">
        <v>514</v>
      </c>
      <c r="C115" s="149"/>
      <c r="D115" s="118"/>
      <c r="E115" s="118"/>
      <c r="F115" s="119"/>
      <c r="G115" s="58" t="s">
        <v>576</v>
      </c>
      <c r="H115" s="35"/>
      <c r="I115" s="36"/>
      <c r="J115" s="84"/>
      <c r="K115" s="87"/>
      <c r="L115" s="85">
        <f t="shared" si="2"/>
        <v>0</v>
      </c>
    </row>
    <row r="116" spans="1:12" s="1" customFormat="1" ht="84" customHeight="1" x14ac:dyDescent="0.2">
      <c r="A116" s="8" t="s">
        <v>291</v>
      </c>
      <c r="B116" s="20" t="s">
        <v>515</v>
      </c>
      <c r="C116" s="15"/>
      <c r="D116" s="15"/>
      <c r="E116" s="15"/>
      <c r="F116" s="24"/>
      <c r="G116" s="56" t="str">
        <f>IF(C116="","",IF(C116="Yes","Describe how this is accomplished.","Describe any plans to implement role-based access controls for end-users."))</f>
        <v/>
      </c>
      <c r="H116" s="35"/>
      <c r="I116" s="36"/>
      <c r="J116" s="84"/>
      <c r="K116" s="87"/>
      <c r="L116" s="85">
        <f t="shared" si="2"/>
        <v>0</v>
      </c>
    </row>
    <row r="117" spans="1:12" s="1" customFormat="1" ht="84" customHeight="1" x14ac:dyDescent="0.2">
      <c r="A117" s="8" t="s">
        <v>292</v>
      </c>
      <c r="B117" s="20" t="s">
        <v>516</v>
      </c>
      <c r="C117" s="15"/>
      <c r="D117" s="15"/>
      <c r="E117" s="15"/>
      <c r="F117" s="24"/>
      <c r="G117" s="56" t="str">
        <f>IF(C117="","",IF(C117="Yes","Describe how this is accomplished.","Describe any plans to implement role-based access controls for administrators, as well as how access/what levels of access are currently granted to administrators."))</f>
        <v/>
      </c>
      <c r="H117" s="35"/>
      <c r="I117" s="36"/>
      <c r="J117" s="84"/>
      <c r="K117" s="87"/>
      <c r="L117" s="85">
        <f t="shared" si="2"/>
        <v>0</v>
      </c>
    </row>
    <row r="118" spans="1:12" s="1" customFormat="1" ht="78.75" customHeight="1" x14ac:dyDescent="0.2">
      <c r="A118" s="8" t="s">
        <v>325</v>
      </c>
      <c r="B118" s="20" t="s">
        <v>518</v>
      </c>
      <c r="C118" s="52"/>
      <c r="D118" s="52"/>
      <c r="E118" s="52"/>
      <c r="F118" s="24"/>
      <c r="G118" s="56" t="s">
        <v>265</v>
      </c>
      <c r="H118" s="35"/>
      <c r="I118" s="36"/>
      <c r="J118" s="84"/>
      <c r="K118" s="87"/>
      <c r="L118" s="85">
        <f t="shared" si="2"/>
        <v>0</v>
      </c>
    </row>
    <row r="119" spans="1:12" s="1" customFormat="1" ht="57" customHeight="1" x14ac:dyDescent="0.2">
      <c r="A119" s="8" t="s">
        <v>362</v>
      </c>
      <c r="B119" s="20" t="s">
        <v>251</v>
      </c>
      <c r="C119" s="15"/>
      <c r="D119" s="15"/>
      <c r="E119" s="15"/>
      <c r="F119" s="24"/>
      <c r="G119" s="59" t="str">
        <f>IF(C119="","",IF(C119="Yes","Describe or attach your policy or process.","Describe how the provisioning and administration of administrative accounts is currently carried out, as well as any plans to implement such a policy or process."))</f>
        <v/>
      </c>
      <c r="H119" s="35"/>
      <c r="I119" s="36"/>
      <c r="J119" s="84"/>
      <c r="K119" s="87"/>
      <c r="L119" s="85">
        <f t="shared" si="2"/>
        <v>0</v>
      </c>
    </row>
    <row r="120" spans="1:12" s="1" customFormat="1" ht="84" customHeight="1" x14ac:dyDescent="0.2">
      <c r="A120" s="8" t="s">
        <v>429</v>
      </c>
      <c r="B120" s="20" t="s">
        <v>517</v>
      </c>
      <c r="C120" s="15"/>
      <c r="D120" s="15"/>
      <c r="E120" s="15"/>
      <c r="F120" s="24"/>
      <c r="G120" s="58" t="str">
        <f>IF(C120="","",IF(C120="Yes","Provide a brief summary and the review interval.","Describe plans to implement privileged account access-list reviews to your environment."))</f>
        <v/>
      </c>
      <c r="H120" s="35"/>
      <c r="I120" s="36"/>
      <c r="J120" s="84"/>
      <c r="K120" s="87"/>
      <c r="L120" s="85">
        <f t="shared" si="2"/>
        <v>0</v>
      </c>
    </row>
    <row r="121" spans="1:12" s="1" customFormat="1" ht="61.35" customHeight="1" x14ac:dyDescent="0.2">
      <c r="A121" s="120" t="s">
        <v>150</v>
      </c>
      <c r="B121" s="120"/>
      <c r="C121" s="2" t="s">
        <v>574</v>
      </c>
      <c r="D121" s="2" t="s">
        <v>575</v>
      </c>
      <c r="E121" s="2" t="s">
        <v>104</v>
      </c>
      <c r="F121" s="2" t="s">
        <v>17</v>
      </c>
      <c r="G121" s="2" t="s">
        <v>18</v>
      </c>
      <c r="H121" s="2" t="s">
        <v>353</v>
      </c>
      <c r="I121" s="2" t="s">
        <v>380</v>
      </c>
      <c r="J121" s="108" t="s">
        <v>628</v>
      </c>
      <c r="K121" s="109"/>
      <c r="L121" s="83">
        <f>SUM(L122:L141)</f>
        <v>0</v>
      </c>
    </row>
    <row r="122" spans="1:12" s="1" customFormat="1" ht="72.75" customHeight="1" x14ac:dyDescent="0.2">
      <c r="A122" s="22" t="s">
        <v>184</v>
      </c>
      <c r="B122" s="20" t="s">
        <v>612</v>
      </c>
      <c r="C122" s="15"/>
      <c r="D122" s="15"/>
      <c r="E122" s="15"/>
      <c r="F122" s="21"/>
      <c r="G122" s="58" t="str">
        <f>IF(C122="","",IF(C122="Yes","Provide a reference to your BCP and supporting documentation or submit it along with this fully-populated questionnaire. Please also describe how you ensure data availability in the event of the loss of systems or facilities.","Briefly summarize your response."))</f>
        <v/>
      </c>
      <c r="H122" s="35">
        <v>21</v>
      </c>
      <c r="I122" s="36" t="s">
        <v>430</v>
      </c>
      <c r="J122" s="84"/>
      <c r="K122" s="87"/>
      <c r="L122" s="85">
        <f t="shared" si="2"/>
        <v>0</v>
      </c>
    </row>
    <row r="123" spans="1:12" s="1" customFormat="1" ht="48" customHeight="1" x14ac:dyDescent="0.2">
      <c r="A123" s="22" t="s">
        <v>185</v>
      </c>
      <c r="B123" s="20" t="s">
        <v>35</v>
      </c>
      <c r="C123" s="15"/>
      <c r="D123" s="15"/>
      <c r="E123" s="15"/>
      <c r="F123" s="21"/>
      <c r="G123" s="58" t="str">
        <f>IF(C123="","",IF(C123="Yes","Describe your BCP component review strategy.","Describe any plans to annually review and update (as needed) your BCP."))</f>
        <v/>
      </c>
      <c r="H123" s="35"/>
      <c r="I123" s="36" t="s">
        <v>431</v>
      </c>
      <c r="J123" s="84"/>
      <c r="K123" s="87"/>
      <c r="L123" s="85">
        <f t="shared" si="2"/>
        <v>0</v>
      </c>
    </row>
    <row r="124" spans="1:12" s="1" customFormat="1" ht="48" customHeight="1" x14ac:dyDescent="0.2">
      <c r="A124" s="8" t="s">
        <v>186</v>
      </c>
      <c r="B124" s="20" t="s">
        <v>36</v>
      </c>
      <c r="C124" s="15"/>
      <c r="D124" s="15"/>
      <c r="E124" s="15"/>
      <c r="F124" s="21"/>
      <c r="G124" s="58" t="str">
        <f>IF(C124="","",IF(C124="Yes","State the date of your last BCP test.","Describe your strategy to implement annual BCP testing."))</f>
        <v/>
      </c>
      <c r="H124" s="35"/>
      <c r="I124" s="36"/>
      <c r="J124" s="84"/>
      <c r="K124" s="87"/>
      <c r="L124" s="85">
        <f t="shared" si="2"/>
        <v>0</v>
      </c>
    </row>
    <row r="125" spans="1:12" s="1" customFormat="1" ht="64.349999999999994" customHeight="1" x14ac:dyDescent="0.2">
      <c r="A125" s="22" t="s">
        <v>187</v>
      </c>
      <c r="B125" s="20" t="s">
        <v>105</v>
      </c>
      <c r="C125" s="15"/>
      <c r="D125" s="15"/>
      <c r="E125" s="15"/>
      <c r="F125" s="21"/>
      <c r="G125" s="56" t="str">
        <f>IF(C125="","",IF(C125="Yes","Provide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25" s="35"/>
      <c r="I125" s="36" t="s">
        <v>432</v>
      </c>
      <c r="J125" s="84"/>
      <c r="K125" s="87"/>
      <c r="L125" s="85">
        <f t="shared" si="2"/>
        <v>0</v>
      </c>
    </row>
    <row r="126" spans="1:12" s="1" customFormat="1" ht="64.349999999999994" customHeight="1" x14ac:dyDescent="0.2">
      <c r="A126" s="22" t="s">
        <v>188</v>
      </c>
      <c r="B126" s="20" t="s">
        <v>519</v>
      </c>
      <c r="C126" s="15"/>
      <c r="D126" s="15"/>
      <c r="E126" s="15"/>
      <c r="F126" s="21"/>
      <c r="G126" s="56" t="str">
        <f>IF(C126="","",IF(C126="Yes","Provide a reference to the requested documents, or provide them when submitting this fully-populated questionnaire.","State any plans to provide system and/or application architecture diagrams."))</f>
        <v/>
      </c>
      <c r="H126" s="35"/>
      <c r="I126" s="36" t="s">
        <v>433</v>
      </c>
      <c r="J126" s="84"/>
      <c r="K126" s="87"/>
      <c r="L126" s="85">
        <f t="shared" si="2"/>
        <v>0</v>
      </c>
    </row>
    <row r="127" spans="1:12" s="1" customFormat="1" ht="64.349999999999994" customHeight="1" x14ac:dyDescent="0.2">
      <c r="A127" s="22" t="s">
        <v>189</v>
      </c>
      <c r="B127" s="20" t="s">
        <v>520</v>
      </c>
      <c r="C127" s="15"/>
      <c r="D127" s="15"/>
      <c r="E127" s="15"/>
      <c r="F127" s="21"/>
      <c r="G127" s="60" t="str">
        <f>IF(C127="","",IF(C127="Yes","Provide details of these procedures (link or attached).","Provide a detailed summary for this response, including your current end-of-life procedures."))</f>
        <v/>
      </c>
      <c r="H127" s="35">
        <v>40</v>
      </c>
      <c r="I127" s="36" t="s">
        <v>434</v>
      </c>
      <c r="J127" s="84"/>
      <c r="K127" s="87"/>
      <c r="L127" s="85">
        <f t="shared" si="2"/>
        <v>0</v>
      </c>
    </row>
    <row r="128" spans="1:12" s="1" customFormat="1" ht="64.349999999999994" customHeight="1" x14ac:dyDescent="0.2">
      <c r="A128" s="22" t="s">
        <v>190</v>
      </c>
      <c r="B128" s="20" t="s">
        <v>492</v>
      </c>
      <c r="C128" s="15"/>
      <c r="D128" s="15"/>
      <c r="E128" s="15"/>
      <c r="F128" s="21"/>
      <c r="G128" s="60" t="str">
        <f>IF(C128="","",IF(C128="Yes","Please provide a brief description of this process.","State plans to support secure deletion for archived/backed-up Utility data."))</f>
        <v/>
      </c>
      <c r="H128" s="35">
        <v>46</v>
      </c>
      <c r="I128" s="36" t="s">
        <v>435</v>
      </c>
      <c r="J128" s="84"/>
      <c r="K128" s="87"/>
      <c r="L128" s="85">
        <f t="shared" si="2"/>
        <v>0</v>
      </c>
    </row>
    <row r="129" spans="1:176" s="1" customFormat="1" ht="85.5" x14ac:dyDescent="0.2">
      <c r="A129" s="22" t="s">
        <v>191</v>
      </c>
      <c r="B129" s="20" t="s">
        <v>504</v>
      </c>
      <c r="C129" s="15"/>
      <c r="D129" s="15"/>
      <c r="E129" s="15"/>
      <c r="F129" s="21"/>
      <c r="G129" s="60" t="s">
        <v>637</v>
      </c>
      <c r="H129" s="35">
        <v>24</v>
      </c>
      <c r="I129" s="36" t="s">
        <v>436</v>
      </c>
      <c r="J129" s="84"/>
      <c r="K129" s="87"/>
      <c r="L129" s="85">
        <f t="shared" si="2"/>
        <v>0</v>
      </c>
    </row>
    <row r="130" spans="1:176" s="1" customFormat="1" ht="102.95" customHeight="1" x14ac:dyDescent="0.2">
      <c r="A130" s="22" t="s">
        <v>192</v>
      </c>
      <c r="B130" s="20" t="s">
        <v>521</v>
      </c>
      <c r="C130" s="15"/>
      <c r="D130" s="15"/>
      <c r="E130" s="15"/>
      <c r="F130" s="21"/>
      <c r="G130" s="60" t="str">
        <f>IF(C130="","",IF(C130="Yes","Please describe this program in adequate detail.",""))</f>
        <v/>
      </c>
      <c r="H130" s="35">
        <v>54</v>
      </c>
      <c r="I130" s="36" t="s">
        <v>437</v>
      </c>
      <c r="J130" s="84"/>
      <c r="K130" s="87"/>
      <c r="L130" s="85">
        <f t="shared" si="2"/>
        <v>0</v>
      </c>
    </row>
    <row r="131" spans="1:176" s="1" customFormat="1" ht="69" customHeight="1" x14ac:dyDescent="0.2">
      <c r="A131" s="22" t="s">
        <v>332</v>
      </c>
      <c r="B131" s="20" t="s">
        <v>656</v>
      </c>
      <c r="C131" s="15"/>
      <c r="D131" s="15"/>
      <c r="E131" s="15"/>
      <c r="F131" s="21"/>
      <c r="G131" s="60"/>
      <c r="H131" s="35">
        <v>58</v>
      </c>
      <c r="I131" s="36" t="s">
        <v>438</v>
      </c>
      <c r="J131" s="84"/>
      <c r="K131" s="87"/>
      <c r="L131" s="85">
        <f t="shared" si="2"/>
        <v>0</v>
      </c>
    </row>
    <row r="132" spans="1:176" s="1" customFormat="1" ht="69" customHeight="1" x14ac:dyDescent="0.2">
      <c r="A132" s="22" t="s">
        <v>193</v>
      </c>
      <c r="B132" s="20" t="s">
        <v>522</v>
      </c>
      <c r="C132" s="15"/>
      <c r="D132" s="15"/>
      <c r="E132" s="15"/>
      <c r="F132" s="21"/>
      <c r="G132" s="60" t="s">
        <v>322</v>
      </c>
      <c r="H132" s="35">
        <v>52</v>
      </c>
      <c r="I132" s="36" t="s">
        <v>439</v>
      </c>
      <c r="J132" s="84"/>
      <c r="K132" s="87"/>
      <c r="L132" s="85">
        <f t="shared" si="2"/>
        <v>0</v>
      </c>
    </row>
    <row r="133" spans="1:176" s="1" customFormat="1" ht="47.1" customHeight="1" x14ac:dyDescent="0.2">
      <c r="A133" s="8" t="s">
        <v>194</v>
      </c>
      <c r="B133" s="20" t="s">
        <v>112</v>
      </c>
      <c r="C133" s="15"/>
      <c r="D133" s="15"/>
      <c r="E133" s="15"/>
      <c r="F133" s="21"/>
      <c r="G133" s="58" t="str">
        <f>IF(C133="","",IF(C133="Yes","Summarize your defined problem/issue escalation plan contained in your BCP.","Describe any plans to define a problem/issue escalation plan in your BCP."))</f>
        <v/>
      </c>
      <c r="H133" s="35"/>
      <c r="I133" s="36"/>
      <c r="J133" s="84"/>
      <c r="K133" s="87"/>
      <c r="L133" s="85">
        <f t="shared" si="2"/>
        <v>0</v>
      </c>
    </row>
    <row r="134" spans="1:176" s="1" customFormat="1" ht="64.349999999999994" customHeight="1" x14ac:dyDescent="0.2">
      <c r="A134" s="8" t="s">
        <v>195</v>
      </c>
      <c r="B134" s="20" t="s">
        <v>523</v>
      </c>
      <c r="C134" s="15"/>
      <c r="D134" s="15"/>
      <c r="E134" s="15"/>
      <c r="F134" s="26"/>
      <c r="G134" s="58" t="str">
        <f>IF(C134="","",IF(C134="Yes","Provide a valid URL to your current DRP or submit it along with this fully-populated questionnaire.","Describe any plans to develop a Disaster Recovery Plan (DRP)."))</f>
        <v/>
      </c>
      <c r="H134" s="35"/>
      <c r="I134" s="36"/>
      <c r="J134" s="84"/>
      <c r="K134" s="87"/>
      <c r="L134" s="85">
        <f t="shared" si="2"/>
        <v>0</v>
      </c>
    </row>
    <row r="135" spans="1:176" s="1" customFormat="1" ht="64.349999999999994" customHeight="1" x14ac:dyDescent="0.2">
      <c r="A135" s="8" t="s">
        <v>196</v>
      </c>
      <c r="B135" s="20" t="s">
        <v>524</v>
      </c>
      <c r="C135" s="15"/>
      <c r="D135" s="15"/>
      <c r="E135" s="15"/>
      <c r="F135" s="21"/>
      <c r="G135" s="59" t="str">
        <f>IF(C135="","",IF(C135="Yes","Provide links to these documents in Additional Information or attach them with your submission. Include the responsible party for your information security program and the size of your security staff.","Provide a brief summary for this response."))</f>
        <v/>
      </c>
      <c r="H135" s="35"/>
      <c r="I135" s="36"/>
      <c r="J135" s="84"/>
      <c r="K135" s="87"/>
      <c r="L135" s="85">
        <f>J135*K135</f>
        <v>0</v>
      </c>
    </row>
    <row r="136" spans="1:176" s="1" customFormat="1" ht="64.349999999999994" customHeight="1" x14ac:dyDescent="0.2">
      <c r="A136" s="8" t="s">
        <v>197</v>
      </c>
      <c r="B136" s="20" t="s">
        <v>152</v>
      </c>
      <c r="C136" s="15"/>
      <c r="D136" s="15"/>
      <c r="E136" s="15"/>
      <c r="F136" s="21"/>
      <c r="G136" s="58" t="str">
        <f>IF(C136="","",IF(C136="Yes","Describe how data will be returned to the utility and in what format will it be presented, as well as how data will be securely deleted from your systems.","Summarize why the Utility's data won't be returned, and plans to implement secure deletion of Utility data."))</f>
        <v/>
      </c>
      <c r="H136" s="35"/>
      <c r="I136" s="36"/>
      <c r="J136" s="84"/>
      <c r="K136" s="87"/>
      <c r="L136" s="85">
        <f t="shared" si="2"/>
        <v>0</v>
      </c>
    </row>
    <row r="137" spans="1:176" s="1" customFormat="1" ht="64.349999999999994" customHeight="1" x14ac:dyDescent="0.2">
      <c r="A137" s="8" t="s">
        <v>198</v>
      </c>
      <c r="B137" s="20" t="s">
        <v>153</v>
      </c>
      <c r="C137" s="15"/>
      <c r="D137" s="15"/>
      <c r="E137" s="15"/>
      <c r="F137" s="21"/>
      <c r="G137" s="56" t="str">
        <f>IF(C137="","",IF(C137="Yes","Provide a reference to the requested documents, or provide them when submitting this fully-populated questionnaire.","State any plans to develop or provide data retention policies for Utility data."))</f>
        <v/>
      </c>
      <c r="H137" s="35"/>
      <c r="I137" s="36"/>
      <c r="J137" s="84"/>
      <c r="K137" s="87"/>
      <c r="L137" s="85">
        <f t="shared" si="2"/>
        <v>0</v>
      </c>
    </row>
    <row r="138" spans="1:176" s="1" customFormat="1" ht="84.95" customHeight="1" x14ac:dyDescent="0.2">
      <c r="A138" s="8" t="s">
        <v>257</v>
      </c>
      <c r="B138" s="20" t="s">
        <v>525</v>
      </c>
      <c r="C138" s="15"/>
      <c r="D138" s="15"/>
      <c r="E138" s="15"/>
      <c r="F138" s="21"/>
      <c r="G138" s="58" t="str">
        <f>IF(C138="","",IF(C138="Yes","Provide reference to or attach your data ownership documention.","Describe in detail why ownership rights are not retained by the utility."))</f>
        <v/>
      </c>
      <c r="H138" s="35"/>
      <c r="I138" s="36"/>
      <c r="J138" s="84"/>
      <c r="K138" s="87"/>
      <c r="L138" s="85">
        <f t="shared" si="2"/>
        <v>0</v>
      </c>
    </row>
    <row r="139" spans="1:176" s="1" customFormat="1" ht="64.349999999999994" customHeight="1" x14ac:dyDescent="0.2">
      <c r="A139" s="8" t="s">
        <v>276</v>
      </c>
      <c r="B139" s="20" t="s">
        <v>66</v>
      </c>
      <c r="C139" s="15"/>
      <c r="D139" s="15"/>
      <c r="E139" s="15"/>
      <c r="F139" s="21"/>
      <c r="G139" s="60" t="str">
        <f>IF(C139="","",IF(C139="Yes","Provide a general summary of your long-term data retention strategy.","State plans to implement a long-term data retention strategy."))</f>
        <v/>
      </c>
      <c r="H139" s="35"/>
      <c r="I139" s="36"/>
      <c r="J139" s="84"/>
      <c r="K139" s="87"/>
      <c r="L139" s="85">
        <f t="shared" si="2"/>
        <v>0</v>
      </c>
    </row>
    <row r="140" spans="1:176" s="1" customFormat="1" ht="64.349999999999994" customHeight="1" x14ac:dyDescent="0.2">
      <c r="A140" s="8" t="s">
        <v>318</v>
      </c>
      <c r="B140" s="20" t="s">
        <v>657</v>
      </c>
      <c r="C140" s="15"/>
      <c r="D140" s="15"/>
      <c r="E140" s="15"/>
      <c r="F140" s="21"/>
      <c r="G140" s="60" t="str">
        <f>IF(C140="","",IF(C140="Yes","Describe how compliance is integrated into your process and procedures.","State plans to handle data in a compliant manner."))</f>
        <v/>
      </c>
      <c r="H140" s="35"/>
      <c r="I140" s="36"/>
      <c r="J140" s="84"/>
      <c r="K140" s="87"/>
      <c r="L140" s="85">
        <f t="shared" si="2"/>
        <v>0</v>
      </c>
    </row>
    <row r="141" spans="1:176" s="65" customFormat="1" ht="64.349999999999994" customHeight="1" x14ac:dyDescent="0.2">
      <c r="A141" s="22" t="s">
        <v>599</v>
      </c>
      <c r="B141" s="20" t="s">
        <v>602</v>
      </c>
      <c r="C141" s="15"/>
      <c r="D141" s="15"/>
      <c r="E141" s="15"/>
      <c r="F141" s="21"/>
      <c r="G141" s="68"/>
      <c r="H141" s="35">
        <v>20.100000000000001</v>
      </c>
      <c r="I141" s="41"/>
      <c r="J141" s="84"/>
      <c r="K141" s="87"/>
      <c r="L141" s="85">
        <f t="shared" si="2"/>
        <v>0</v>
      </c>
    </row>
    <row r="142" spans="1:176" s="1" customFormat="1" ht="53.45" customHeight="1" x14ac:dyDescent="0.2">
      <c r="A142" s="120" t="s">
        <v>146</v>
      </c>
      <c r="B142" s="120"/>
      <c r="C142" s="2" t="s">
        <v>574</v>
      </c>
      <c r="D142" s="2" t="s">
        <v>575</v>
      </c>
      <c r="E142" s="2" t="s">
        <v>104</v>
      </c>
      <c r="F142" s="2" t="s">
        <v>17</v>
      </c>
      <c r="G142" s="2" t="s">
        <v>18</v>
      </c>
      <c r="H142" s="2" t="s">
        <v>353</v>
      </c>
      <c r="I142" s="2" t="s">
        <v>380</v>
      </c>
      <c r="J142" s="108" t="s">
        <v>628</v>
      </c>
      <c r="K142" s="109"/>
      <c r="L142" s="83">
        <f>SUM(L143:L156)</f>
        <v>0</v>
      </c>
    </row>
    <row r="143" spans="1:176" s="1" customFormat="1" ht="84" customHeight="1" x14ac:dyDescent="0.2">
      <c r="A143" s="22" t="s">
        <v>37</v>
      </c>
      <c r="B143" s="20" t="s">
        <v>330</v>
      </c>
      <c r="C143" s="15"/>
      <c r="D143" s="15"/>
      <c r="E143" s="15"/>
      <c r="F143" s="21"/>
      <c r="G143" s="58" t="str">
        <f>IF(C143="","",IF(C143="Yes","Summarize your current change management process.","Describe current plans to implement a change management process."))</f>
        <v/>
      </c>
      <c r="H143" s="35"/>
      <c r="I143" s="36"/>
      <c r="J143" s="84"/>
      <c r="K143" s="87"/>
      <c r="L143" s="85">
        <f t="shared" ref="L143:L206" si="3">J143*K143</f>
        <v>0</v>
      </c>
    </row>
    <row r="144" spans="1:176" ht="78" customHeight="1" x14ac:dyDescent="0.2">
      <c r="A144" s="22" t="s">
        <v>38</v>
      </c>
      <c r="B144" s="20" t="s">
        <v>252</v>
      </c>
      <c r="C144" s="15"/>
      <c r="D144" s="15"/>
      <c r="E144" s="15"/>
      <c r="F144" s="24"/>
      <c r="G144" s="58" t="str">
        <f>IF(C144="","",IF(C144="Yes","Describe how this is accomplished within your environment.","Describe your plans to ensure that only application software verifiable as authorized, tested, and approved for production, is placed into production."))</f>
        <v/>
      </c>
      <c r="H144" s="35"/>
      <c r="I144" s="36" t="s">
        <v>440</v>
      </c>
      <c r="J144" s="84"/>
      <c r="K144" s="87"/>
      <c r="L144" s="85">
        <f t="shared" si="3"/>
        <v>0</v>
      </c>
      <c r="FT144"/>
    </row>
    <row r="145" spans="1:176" ht="48" customHeight="1" x14ac:dyDescent="0.2">
      <c r="A145" s="22" t="s">
        <v>39</v>
      </c>
      <c r="B145" s="20" t="s">
        <v>331</v>
      </c>
      <c r="C145" s="15"/>
      <c r="D145" s="15"/>
      <c r="E145" s="15"/>
      <c r="F145" s="24"/>
      <c r="G145" s="58" t="s">
        <v>313</v>
      </c>
      <c r="H145" s="35">
        <v>50</v>
      </c>
      <c r="I145" s="36" t="s">
        <v>441</v>
      </c>
      <c r="J145" s="84"/>
      <c r="K145" s="87"/>
      <c r="L145" s="85">
        <f t="shared" si="3"/>
        <v>0</v>
      </c>
      <c r="FT145"/>
    </row>
    <row r="146" spans="1:176" ht="48" customHeight="1" x14ac:dyDescent="0.2">
      <c r="A146" s="22" t="s">
        <v>40</v>
      </c>
      <c r="B146" s="20" t="s">
        <v>320</v>
      </c>
      <c r="C146" s="15"/>
      <c r="D146" s="15"/>
      <c r="E146" s="15"/>
      <c r="F146" s="21"/>
      <c r="G146" s="60"/>
      <c r="H146" s="35">
        <v>56</v>
      </c>
      <c r="I146" s="36" t="s">
        <v>442</v>
      </c>
      <c r="J146" s="84"/>
      <c r="K146" s="87"/>
      <c r="L146" s="85">
        <f t="shared" si="3"/>
        <v>0</v>
      </c>
      <c r="FT146"/>
    </row>
    <row r="147" spans="1:176" s="1" customFormat="1" ht="48" customHeight="1" x14ac:dyDescent="0.2">
      <c r="A147" s="22" t="s">
        <v>42</v>
      </c>
      <c r="B147" s="20" t="s">
        <v>526</v>
      </c>
      <c r="C147" s="15"/>
      <c r="D147" s="15"/>
      <c r="E147" s="15"/>
      <c r="F147" s="21"/>
      <c r="G147" s="58" t="str">
        <f>IF(C147="","",IF(C147="Yes","Summarize your implemented system configuration management process.","Describe how system configuration management is currently handled in your environment."))</f>
        <v/>
      </c>
      <c r="H147" s="35"/>
      <c r="I147" s="36"/>
      <c r="J147" s="84"/>
      <c r="K147" s="87"/>
      <c r="L147" s="85">
        <f t="shared" si="3"/>
        <v>0</v>
      </c>
    </row>
    <row r="148" spans="1:176" s="1" customFormat="1" ht="48" customHeight="1" x14ac:dyDescent="0.2">
      <c r="A148" s="22" t="s">
        <v>43</v>
      </c>
      <c r="B148" s="20" t="s">
        <v>84</v>
      </c>
      <c r="C148" s="15"/>
      <c r="D148" s="15"/>
      <c r="E148" s="15"/>
      <c r="F148" s="26"/>
      <c r="G148" s="59" t="str">
        <f>IF(C148="","",IF(C148="Yes","Summarize your systems management and configuration strategy.","Describe your intent to implement a systems management and configuration strategy."))</f>
        <v/>
      </c>
      <c r="H148" s="35"/>
      <c r="I148" s="36"/>
      <c r="J148" s="84"/>
      <c r="K148" s="87"/>
      <c r="L148" s="85">
        <f t="shared" si="3"/>
        <v>0</v>
      </c>
    </row>
    <row r="149" spans="1:176" s="1" customFormat="1" ht="90" customHeight="1" x14ac:dyDescent="0.2">
      <c r="A149" s="22" t="s">
        <v>44</v>
      </c>
      <c r="B149" s="20" t="s">
        <v>122</v>
      </c>
      <c r="C149" s="26"/>
      <c r="D149" s="26"/>
      <c r="E149" s="26"/>
      <c r="F149" s="26"/>
      <c r="G149" s="58" t="s">
        <v>580</v>
      </c>
      <c r="H149" s="35"/>
      <c r="I149" s="36"/>
      <c r="J149" s="84"/>
      <c r="K149" s="87"/>
      <c r="L149" s="85">
        <f t="shared" si="3"/>
        <v>0</v>
      </c>
    </row>
    <row r="150" spans="1:176" ht="64.349999999999994" customHeight="1" x14ac:dyDescent="0.2">
      <c r="A150" s="22" t="s">
        <v>45</v>
      </c>
      <c r="B150" s="20" t="s">
        <v>527</v>
      </c>
      <c r="C150" s="15"/>
      <c r="D150" s="15"/>
      <c r="E150" s="15"/>
      <c r="F150" s="24"/>
      <c r="G150" s="60" t="str">
        <f>IF(C150="","",IF(C150="Yes","State how and when the utility will be notified of major changes to your environment.","Describe plans to establish a formal notification mechanism for major environmental changes."))</f>
        <v/>
      </c>
      <c r="H150" s="35"/>
      <c r="I150" s="36"/>
      <c r="J150" s="84"/>
      <c r="K150" s="87"/>
      <c r="L150" s="85">
        <f t="shared" si="3"/>
        <v>0</v>
      </c>
      <c r="FT150"/>
    </row>
    <row r="151" spans="1:176" ht="64.349999999999994" customHeight="1" x14ac:dyDescent="0.2">
      <c r="A151" s="22" t="s">
        <v>46</v>
      </c>
      <c r="B151" s="20" t="s">
        <v>41</v>
      </c>
      <c r="C151" s="15"/>
      <c r="D151" s="15"/>
      <c r="E151" s="15"/>
      <c r="F151" s="24"/>
      <c r="G151" s="60" t="str">
        <f>IF(C151="","",IF(C151="Yes","Summarize or provide a reference to the process/procedure to manage releases.","Summarize why clients do not have alternative release options."))</f>
        <v/>
      </c>
      <c r="H151" s="35"/>
      <c r="I151" s="36"/>
      <c r="J151" s="84"/>
      <c r="K151" s="87"/>
      <c r="L151" s="85">
        <f t="shared" si="3"/>
        <v>0</v>
      </c>
      <c r="FT151"/>
    </row>
    <row r="152" spans="1:176" ht="64.349999999999994" customHeight="1" x14ac:dyDescent="0.2">
      <c r="A152" s="22" t="s">
        <v>199</v>
      </c>
      <c r="B152" s="20" t="s">
        <v>123</v>
      </c>
      <c r="C152" s="15"/>
      <c r="D152" s="15"/>
      <c r="E152" s="15"/>
      <c r="F152" s="24"/>
      <c r="G152" s="60" t="str">
        <f>IF(C152="","",IF(C152="Yes","Please describe your support strategy.",""))</f>
        <v/>
      </c>
      <c r="H152" s="35"/>
      <c r="I152" s="36"/>
      <c r="J152" s="84"/>
      <c r="K152" s="87"/>
      <c r="L152" s="85">
        <f t="shared" si="3"/>
        <v>0</v>
      </c>
      <c r="FT152"/>
    </row>
    <row r="153" spans="1:176" ht="64.349999999999994" customHeight="1" x14ac:dyDescent="0.2">
      <c r="A153" s="22" t="s">
        <v>47</v>
      </c>
      <c r="B153" s="20" t="s">
        <v>113</v>
      </c>
      <c r="C153" s="15"/>
      <c r="D153" s="15"/>
      <c r="E153" s="15"/>
      <c r="F153" s="24"/>
      <c r="G153" s="58" t="str">
        <f>IF(C153="","",IF(C153="Yes","Describe how this is accomplished within your system.","Describe any business or technical reasons why customizations are not supported."))</f>
        <v/>
      </c>
      <c r="H153" s="35"/>
      <c r="I153" s="36"/>
      <c r="J153" s="84"/>
      <c r="K153" s="87"/>
      <c r="L153" s="85">
        <f t="shared" si="3"/>
        <v>0</v>
      </c>
      <c r="FT153"/>
    </row>
    <row r="154" spans="1:176" ht="95.25" customHeight="1" x14ac:dyDescent="0.2">
      <c r="A154" s="22" t="s">
        <v>48</v>
      </c>
      <c r="B154" s="20" t="s">
        <v>528</v>
      </c>
      <c r="C154" s="15"/>
      <c r="D154" s="15"/>
      <c r="E154" s="15"/>
      <c r="F154" s="24"/>
      <c r="G154" s="58" t="str">
        <f>IF(C154="","",IF(C154="Yes","Please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4" s="35"/>
      <c r="I154" s="36"/>
      <c r="J154" s="84"/>
      <c r="K154" s="87"/>
      <c r="L154" s="85">
        <f t="shared" si="3"/>
        <v>0</v>
      </c>
      <c r="FT154"/>
    </row>
    <row r="155" spans="1:176" ht="64.349999999999994" customHeight="1" x14ac:dyDescent="0.2">
      <c r="A155" s="22" t="s">
        <v>200</v>
      </c>
      <c r="B155" s="20" t="s">
        <v>529</v>
      </c>
      <c r="C155" s="15"/>
      <c r="D155" s="15"/>
      <c r="E155" s="15"/>
      <c r="F155" s="33"/>
      <c r="G155" s="58" t="str">
        <f>IF(C155="","",IF(C155="Yes","Summarize the policy and procedure(s) guiding risk mitigation practices before critical patches can be applied and provide a copy if available.","State your plans to implement policy and procedure(s) guiding risk mitigation practices before critical patches can be applied."))</f>
        <v/>
      </c>
      <c r="H155" s="35"/>
      <c r="I155" s="36"/>
      <c r="J155" s="84"/>
      <c r="K155" s="87"/>
      <c r="L155" s="85">
        <f t="shared" si="3"/>
        <v>0</v>
      </c>
      <c r="FT155"/>
    </row>
    <row r="156" spans="1:176" ht="59.1" customHeight="1" x14ac:dyDescent="0.2">
      <c r="A156" s="22" t="s">
        <v>319</v>
      </c>
      <c r="B156" s="20" t="s">
        <v>73</v>
      </c>
      <c r="C156" s="15"/>
      <c r="D156" s="15"/>
      <c r="E156" s="15"/>
      <c r="F156" s="33"/>
      <c r="G156" s="58" t="str">
        <f>IF(C156="","",IF(C156="Yes","Please describe the policy, including required approvals, for firewall change requests.","State your plans to implement a firewall change request policy or procedure."))</f>
        <v/>
      </c>
      <c r="H156" s="35"/>
      <c r="I156" s="36"/>
      <c r="J156" s="84"/>
      <c r="K156" s="87"/>
      <c r="L156" s="85">
        <f t="shared" si="3"/>
        <v>0</v>
      </c>
      <c r="FT156"/>
    </row>
    <row r="157" spans="1:176" ht="54" x14ac:dyDescent="0.2">
      <c r="A157" s="120" t="s">
        <v>151</v>
      </c>
      <c r="B157" s="120"/>
      <c r="C157" s="2" t="s">
        <v>574</v>
      </c>
      <c r="D157" s="2" t="s">
        <v>575</v>
      </c>
      <c r="E157" s="2" t="s">
        <v>104</v>
      </c>
      <c r="F157" s="2" t="s">
        <v>17</v>
      </c>
      <c r="G157" s="2" t="s">
        <v>18</v>
      </c>
      <c r="H157" s="2" t="s">
        <v>353</v>
      </c>
      <c r="I157" s="2" t="s">
        <v>380</v>
      </c>
      <c r="J157" s="108" t="s">
        <v>628</v>
      </c>
      <c r="K157" s="109"/>
      <c r="L157" s="83">
        <f>SUM(L158:L181)</f>
        <v>0</v>
      </c>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48" customHeight="1" x14ac:dyDescent="0.2">
      <c r="A158" s="22" t="s">
        <v>333</v>
      </c>
      <c r="B158" s="20" t="s">
        <v>613</v>
      </c>
      <c r="C158" s="15"/>
      <c r="D158" s="15"/>
      <c r="E158" s="15"/>
      <c r="F158" s="14"/>
      <c r="G158" s="58" t="str">
        <f>IF(C158="","",IF(C158="Yes","Provide a general summary of your archival environment.","State plans to store long-term media in environmentally protected areas."))</f>
        <v/>
      </c>
      <c r="H158" s="38"/>
      <c r="I158" s="38" t="s">
        <v>443</v>
      </c>
      <c r="J158" s="84"/>
      <c r="K158" s="87"/>
      <c r="L158" s="85">
        <f t="shared" si="3"/>
        <v>0</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81" customHeight="1" x14ac:dyDescent="0.2">
      <c r="A159" s="22" t="s">
        <v>334</v>
      </c>
      <c r="B159" s="20" t="s">
        <v>530</v>
      </c>
      <c r="C159" s="15"/>
      <c r="D159" s="15"/>
      <c r="E159" s="15"/>
      <c r="F159" s="21"/>
      <c r="G159" s="58" t="str">
        <f>IF(C159="","",IF(C159="Yes","","Please state the owner of the physical data center where the utility's data will reside."))</f>
        <v/>
      </c>
      <c r="H159" s="38"/>
      <c r="I159" s="38" t="s">
        <v>444</v>
      </c>
      <c r="J159" s="84"/>
      <c r="K159" s="87"/>
      <c r="L159" s="85">
        <f t="shared" si="3"/>
        <v>0</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48" customHeight="1" x14ac:dyDescent="0.2">
      <c r="A160" s="22" t="s">
        <v>335</v>
      </c>
      <c r="B160" s="20" t="s">
        <v>70</v>
      </c>
      <c r="C160" s="15"/>
      <c r="D160" s="15"/>
      <c r="E160" s="15"/>
      <c r="F160" s="21"/>
      <c r="G160" s="58" t="str">
        <f>IF(C160="","",IF(C160="Yes","","Please describe security controls that prevent unauthorized physical contacts with your devices."))</f>
        <v/>
      </c>
      <c r="H160" s="38"/>
      <c r="I160" s="38"/>
      <c r="J160" s="84"/>
      <c r="K160" s="87"/>
      <c r="L160" s="85">
        <f t="shared" si="3"/>
        <v>0</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48" customHeight="1" x14ac:dyDescent="0.2">
      <c r="A161" s="22" t="s">
        <v>336</v>
      </c>
      <c r="B161" s="20" t="s">
        <v>531</v>
      </c>
      <c r="C161" s="15"/>
      <c r="D161" s="15"/>
      <c r="E161" s="15"/>
      <c r="F161" s="21"/>
      <c r="G161" s="58"/>
      <c r="H161" s="38"/>
      <c r="I161" s="38"/>
      <c r="J161" s="84"/>
      <c r="K161" s="87"/>
      <c r="L161" s="85">
        <f t="shared" si="3"/>
        <v>0</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48" customHeight="1" x14ac:dyDescent="0.2">
      <c r="A162" s="22" t="s">
        <v>337</v>
      </c>
      <c r="B162" s="20" t="s">
        <v>532</v>
      </c>
      <c r="C162" s="15"/>
      <c r="D162" s="15"/>
      <c r="E162" s="15"/>
      <c r="F162" s="17"/>
      <c r="G162" s="58" t="str">
        <f>IF(C162="","",IF(C162="Yes","Please describe how this is accomplished, including the process by which it is ensure that access has been approved before it is provisioned.","Please describe plans to implement appropriate segregation of duties."))</f>
        <v/>
      </c>
      <c r="H162" s="38"/>
      <c r="I162" s="38" t="s">
        <v>445</v>
      </c>
      <c r="J162" s="84"/>
      <c r="K162" s="87"/>
      <c r="L162" s="85">
        <f t="shared" si="3"/>
        <v>0</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57" x14ac:dyDescent="0.2">
      <c r="A163" s="22" t="s">
        <v>338</v>
      </c>
      <c r="B163" s="20" t="s">
        <v>114</v>
      </c>
      <c r="C163" s="15"/>
      <c r="D163" s="15"/>
      <c r="E163" s="15"/>
      <c r="F163" s="26"/>
      <c r="G163" s="58" t="s">
        <v>62</v>
      </c>
      <c r="H163" s="38"/>
      <c r="I163" s="38"/>
      <c r="J163" s="84"/>
      <c r="K163" s="87"/>
      <c r="L163" s="85">
        <f t="shared" si="3"/>
        <v>0</v>
      </c>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48" customHeight="1" x14ac:dyDescent="0.2">
      <c r="A164" s="22" t="s">
        <v>339</v>
      </c>
      <c r="B164" s="20" t="s">
        <v>614</v>
      </c>
      <c r="C164" s="15"/>
      <c r="D164" s="15"/>
      <c r="E164" s="15"/>
      <c r="F164" s="14"/>
      <c r="G164" s="58" t="str">
        <f>IF(C164="","",IF(C164="Yes","","State plans to adhere to DoD 5220.22-M and/or NIST SP 800-88 standards."))</f>
        <v/>
      </c>
      <c r="H164" s="38"/>
      <c r="I164" s="38"/>
      <c r="J164" s="84"/>
      <c r="K164" s="87"/>
      <c r="L164" s="85">
        <f t="shared" si="3"/>
        <v>0</v>
      </c>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48" customHeight="1" x14ac:dyDescent="0.2">
      <c r="A165" s="22" t="s">
        <v>340</v>
      </c>
      <c r="B165" s="20" t="s">
        <v>71</v>
      </c>
      <c r="C165" s="15"/>
      <c r="D165" s="15"/>
      <c r="E165" s="15"/>
      <c r="F165" s="14"/>
      <c r="G165" s="58" t="str">
        <f>IF(C165="","",IF(C165="Yes","Describe how and where WAFs are currently implemented in your environment.","Describe any plans to implement a WAF in your environment."))</f>
        <v/>
      </c>
      <c r="H165" s="38"/>
      <c r="I165" s="38"/>
      <c r="J165" s="84"/>
      <c r="K165" s="87"/>
      <c r="L165" s="85">
        <f t="shared" si="3"/>
        <v>0</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48" customHeight="1" x14ac:dyDescent="0.2">
      <c r="A166" s="22" t="s">
        <v>341</v>
      </c>
      <c r="B166" s="20" t="s">
        <v>72</v>
      </c>
      <c r="C166" s="15"/>
      <c r="D166" s="15"/>
      <c r="E166" s="15"/>
      <c r="F166" s="14"/>
      <c r="G166" s="58" t="str">
        <f>IF(C166="","",IF(C166="Yes","Describe how and where SPI firewalls are currently implemented in your environment.","State any plans to implement SPI firewalls in your environment."))</f>
        <v/>
      </c>
      <c r="H166" s="38"/>
      <c r="I166" s="38"/>
      <c r="J166" s="84"/>
      <c r="K166" s="87"/>
      <c r="L166" s="85">
        <f t="shared" si="3"/>
        <v>0</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48" customHeight="1" x14ac:dyDescent="0.2">
      <c r="A167" s="22" t="s">
        <v>201</v>
      </c>
      <c r="B167" s="20" t="s">
        <v>533</v>
      </c>
      <c r="C167" s="14"/>
      <c r="D167" s="14"/>
      <c r="E167" s="14"/>
      <c r="F167" s="14"/>
      <c r="G167" s="58"/>
      <c r="H167" s="38"/>
      <c r="I167" s="38"/>
      <c r="J167" s="84"/>
      <c r="K167" s="87"/>
      <c r="L167" s="85">
        <f t="shared" si="3"/>
        <v>0</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48" customHeight="1" x14ac:dyDescent="0.2">
      <c r="A168" s="22" t="s">
        <v>202</v>
      </c>
      <c r="B168" s="20" t="s">
        <v>74</v>
      </c>
      <c r="C168" s="15"/>
      <c r="D168" s="15"/>
      <c r="E168" s="15"/>
      <c r="F168" s="14"/>
      <c r="G168" s="58" t="str">
        <f>IF(C168="","",IF(C168="Yes","","Please describe for which network(s) and/or tool(s) audit logs are not available."))</f>
        <v/>
      </c>
      <c r="H168" s="38"/>
      <c r="I168" s="38"/>
      <c r="J168" s="84"/>
      <c r="K168" s="87"/>
      <c r="L168" s="85">
        <f t="shared" si="3"/>
        <v>0</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48" customHeight="1" x14ac:dyDescent="0.2">
      <c r="A169" s="22" t="s">
        <v>203</v>
      </c>
      <c r="B169" s="20" t="s">
        <v>584</v>
      </c>
      <c r="C169" s="15"/>
      <c r="D169" s="15"/>
      <c r="E169" s="15"/>
      <c r="F169" s="14"/>
      <c r="G169" s="58" t="str">
        <f>IF(C169="","",IF(C169="Yes","Please describe how the development environments/systems are isolated.","Describe any plans to segregate development environments/systems from other networks."))</f>
        <v/>
      </c>
      <c r="H169" s="38"/>
      <c r="I169" s="38"/>
      <c r="J169" s="84"/>
      <c r="K169" s="87"/>
      <c r="L169" s="85">
        <f t="shared" si="3"/>
        <v>0</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42.75" x14ac:dyDescent="0.2">
      <c r="A170" s="22" t="s">
        <v>204</v>
      </c>
      <c r="B170" s="20" t="s">
        <v>144</v>
      </c>
      <c r="C170" s="14"/>
      <c r="D170" s="14"/>
      <c r="E170" s="14"/>
      <c r="F170" s="14"/>
      <c r="G170" s="58"/>
      <c r="H170" s="38"/>
      <c r="I170" s="38"/>
      <c r="J170" s="84"/>
      <c r="K170" s="87"/>
      <c r="L170" s="85">
        <f t="shared" si="3"/>
        <v>0</v>
      </c>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48" customHeight="1" x14ac:dyDescent="0.2">
      <c r="A171" s="22" t="s">
        <v>205</v>
      </c>
      <c r="B171" s="20" t="s">
        <v>67</v>
      </c>
      <c r="C171" s="15"/>
      <c r="D171" s="15"/>
      <c r="E171" s="15"/>
      <c r="F171" s="14"/>
      <c r="G171" s="58" t="str">
        <f>IF(C171="","",IF(C171="Yes","Please provide a copy of the SOC 2 Type 2 audit report.","Describe any plans to conduct a SOC 2 Type 2 audit."))</f>
        <v/>
      </c>
      <c r="H171" s="38"/>
      <c r="I171" s="38"/>
      <c r="J171" s="84"/>
      <c r="K171" s="87"/>
      <c r="L171" s="85">
        <f t="shared" si="3"/>
        <v>0</v>
      </c>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48" customHeight="1" x14ac:dyDescent="0.2">
      <c r="A172" s="22" t="s">
        <v>206</v>
      </c>
      <c r="B172" s="20" t="s">
        <v>68</v>
      </c>
      <c r="C172" s="15"/>
      <c r="D172" s="15"/>
      <c r="E172" s="15"/>
      <c r="F172" s="14"/>
      <c r="G172" s="58"/>
      <c r="H172" s="38"/>
      <c r="I172" s="38"/>
      <c r="J172" s="84"/>
      <c r="K172" s="87"/>
      <c r="L172" s="85">
        <f t="shared" si="3"/>
        <v>0</v>
      </c>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48" customHeight="1" x14ac:dyDescent="0.2">
      <c r="A173" s="22" t="s">
        <v>207</v>
      </c>
      <c r="B173" s="20" t="s">
        <v>69</v>
      </c>
      <c r="C173" s="15"/>
      <c r="D173" s="15"/>
      <c r="E173" s="15"/>
      <c r="F173" s="14"/>
      <c r="G173" s="58" t="str">
        <f>IF(C173="","",IF(C173="Yes","","Please describe how your servers are physically separated/isolated from those of other customers."))</f>
        <v/>
      </c>
      <c r="H173" s="38"/>
      <c r="I173" s="38"/>
      <c r="J173" s="84"/>
      <c r="K173" s="87"/>
      <c r="L173" s="85">
        <f t="shared" si="3"/>
        <v>0</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48" customHeight="1" x14ac:dyDescent="0.2">
      <c r="A174" s="22" t="s">
        <v>208</v>
      </c>
      <c r="B174" s="20" t="s">
        <v>658</v>
      </c>
      <c r="C174" s="15"/>
      <c r="D174" s="15"/>
      <c r="E174" s="15"/>
      <c r="F174" s="14"/>
      <c r="G174" s="58"/>
      <c r="H174" s="38"/>
      <c r="I174" s="38"/>
      <c r="J174" s="84"/>
      <c r="K174" s="87"/>
      <c r="L174" s="85">
        <f t="shared" si="3"/>
        <v>0</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48" customHeight="1" x14ac:dyDescent="0.2">
      <c r="A175" s="22" t="s">
        <v>209</v>
      </c>
      <c r="B175" s="20" t="s">
        <v>534</v>
      </c>
      <c r="C175" s="15"/>
      <c r="D175" s="15"/>
      <c r="E175" s="15"/>
      <c r="F175" s="14"/>
      <c r="G175" s="58"/>
      <c r="H175" s="38"/>
      <c r="I175" s="38"/>
      <c r="J175" s="84"/>
      <c r="K175" s="87"/>
      <c r="L175" s="85">
        <f t="shared" si="3"/>
        <v>0</v>
      </c>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48" customHeight="1" x14ac:dyDescent="0.2">
      <c r="A176" s="22" t="s">
        <v>210</v>
      </c>
      <c r="B176" s="20" t="s">
        <v>535</v>
      </c>
      <c r="C176" s="14"/>
      <c r="D176" s="14"/>
      <c r="E176" s="14"/>
      <c r="F176" s="14"/>
      <c r="G176" s="58"/>
      <c r="H176" s="38"/>
      <c r="I176" s="38"/>
      <c r="J176" s="84"/>
      <c r="K176" s="87"/>
      <c r="L176" s="85">
        <f t="shared" si="3"/>
        <v>0</v>
      </c>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48" customHeight="1" x14ac:dyDescent="0.2">
      <c r="A177" s="22" t="s">
        <v>211</v>
      </c>
      <c r="B177" s="20" t="s">
        <v>536</v>
      </c>
      <c r="C177" s="15"/>
      <c r="D177" s="15"/>
      <c r="E177" s="15"/>
      <c r="F177" s="14"/>
      <c r="G177" s="58"/>
      <c r="H177" s="38"/>
      <c r="I177" s="38"/>
      <c r="J177" s="84"/>
      <c r="K177" s="87"/>
      <c r="L177" s="85">
        <f t="shared" si="3"/>
        <v>0</v>
      </c>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48" customHeight="1" x14ac:dyDescent="0.2">
      <c r="A178" s="22" t="s">
        <v>212</v>
      </c>
      <c r="B178" s="20" t="s">
        <v>79</v>
      </c>
      <c r="C178" s="15"/>
      <c r="D178" s="15"/>
      <c r="E178" s="15"/>
      <c r="F178" s="14"/>
      <c r="G178" s="58"/>
      <c r="H178" s="38"/>
      <c r="I178" s="38"/>
      <c r="J178" s="84"/>
      <c r="K178" s="87"/>
      <c r="L178" s="85">
        <f t="shared" si="3"/>
        <v>0</v>
      </c>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48" customHeight="1" x14ac:dyDescent="0.2">
      <c r="A179" s="22" t="s">
        <v>213</v>
      </c>
      <c r="B179" s="20" t="s">
        <v>107</v>
      </c>
      <c r="C179" s="15"/>
      <c r="D179" s="15"/>
      <c r="E179" s="15"/>
      <c r="F179" s="14"/>
      <c r="G179" s="58"/>
      <c r="H179" s="38"/>
      <c r="I179" s="38"/>
      <c r="J179" s="84"/>
      <c r="K179" s="87"/>
      <c r="L179" s="85">
        <f t="shared" si="3"/>
        <v>0</v>
      </c>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8" customHeight="1" x14ac:dyDescent="0.2">
      <c r="A180" s="22" t="s">
        <v>214</v>
      </c>
      <c r="B180" s="20" t="s">
        <v>108</v>
      </c>
      <c r="C180" s="15"/>
      <c r="D180" s="15"/>
      <c r="E180" s="15"/>
      <c r="F180" s="14"/>
      <c r="G180" s="58"/>
      <c r="H180" s="38"/>
      <c r="I180" s="38"/>
      <c r="J180" s="84"/>
      <c r="K180" s="87"/>
      <c r="L180" s="85">
        <f t="shared" si="3"/>
        <v>0</v>
      </c>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48" customHeight="1" x14ac:dyDescent="0.2">
      <c r="A181" s="22" t="s">
        <v>260</v>
      </c>
      <c r="B181" s="20" t="s">
        <v>253</v>
      </c>
      <c r="C181" s="15"/>
      <c r="D181" s="15"/>
      <c r="E181" s="15"/>
      <c r="F181" s="14"/>
      <c r="G181" s="58"/>
      <c r="H181" s="38"/>
      <c r="I181" s="38"/>
      <c r="J181" s="84"/>
      <c r="K181" s="87"/>
      <c r="L181" s="85">
        <f t="shared" si="3"/>
        <v>0</v>
      </c>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54" x14ac:dyDescent="0.2">
      <c r="A182" s="120" t="s">
        <v>154</v>
      </c>
      <c r="B182" s="120"/>
      <c r="C182" s="2" t="s">
        <v>574</v>
      </c>
      <c r="D182" s="2" t="s">
        <v>575</v>
      </c>
      <c r="E182" s="2" t="s">
        <v>104</v>
      </c>
      <c r="F182" s="2" t="s">
        <v>17</v>
      </c>
      <c r="G182" s="2" t="s">
        <v>18</v>
      </c>
      <c r="H182" s="2" t="s">
        <v>353</v>
      </c>
      <c r="I182" s="2" t="s">
        <v>380</v>
      </c>
      <c r="J182" s="108" t="s">
        <v>628</v>
      </c>
      <c r="K182" s="109"/>
      <c r="L182" s="83">
        <f>SUM(L183:L207)</f>
        <v>0</v>
      </c>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42.75" x14ac:dyDescent="0.2">
      <c r="A183" s="22" t="s">
        <v>49</v>
      </c>
      <c r="B183" s="20" t="s">
        <v>537</v>
      </c>
      <c r="C183" s="15"/>
      <c r="D183" s="15"/>
      <c r="E183" s="15"/>
      <c r="F183" s="13"/>
      <c r="G183" s="58" t="str">
        <f>IF(C183="","",IF(C183="Yes","Please state the algorithm/method used to achieve encryption in transit.","Please describe plans to encrypt data-in-transit."))</f>
        <v/>
      </c>
      <c r="H183" s="38">
        <v>18</v>
      </c>
      <c r="I183" s="38" t="s">
        <v>446</v>
      </c>
      <c r="J183" s="84"/>
      <c r="K183" s="87"/>
      <c r="L183" s="85">
        <f t="shared" si="3"/>
        <v>0</v>
      </c>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57" x14ac:dyDescent="0.2">
      <c r="A184" s="22" t="s">
        <v>215</v>
      </c>
      <c r="B184" s="20" t="s">
        <v>538</v>
      </c>
      <c r="C184" s="15"/>
      <c r="D184" s="15"/>
      <c r="E184" s="15"/>
      <c r="F184" s="13"/>
      <c r="G184" s="58"/>
      <c r="H184" s="38">
        <v>44</v>
      </c>
      <c r="I184" s="38" t="s">
        <v>447</v>
      </c>
      <c r="J184" s="84"/>
      <c r="K184" s="87"/>
      <c r="L184" s="85">
        <f t="shared" si="3"/>
        <v>0</v>
      </c>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64.349999999999994" customHeight="1" x14ac:dyDescent="0.2">
      <c r="A185" s="22" t="s">
        <v>50</v>
      </c>
      <c r="B185" s="20" t="s">
        <v>493</v>
      </c>
      <c r="C185" s="15"/>
      <c r="D185" s="15"/>
      <c r="E185" s="15"/>
      <c r="F185" s="13"/>
      <c r="G185" s="58" t="str">
        <f>IF(C185="","",IF(C185="Yes","Please state the algorithm/method used to achieve encryption in transit.","Please describe plans to encrypt data-in-transit."))</f>
        <v/>
      </c>
      <c r="H185" s="38">
        <v>42</v>
      </c>
      <c r="I185" s="38" t="s">
        <v>448</v>
      </c>
      <c r="J185" s="84"/>
      <c r="K185" s="87"/>
      <c r="L185" s="85">
        <f t="shared" si="3"/>
        <v>0</v>
      </c>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64.349999999999994" customHeight="1" x14ac:dyDescent="0.2">
      <c r="A186" s="22" t="s">
        <v>51</v>
      </c>
      <c r="B186" s="20" t="s">
        <v>539</v>
      </c>
      <c r="C186" s="15"/>
      <c r="D186" s="15"/>
      <c r="E186" s="15"/>
      <c r="F186" s="13"/>
      <c r="G186" s="58" t="str">
        <f>IF(C186="","",IF(C186="Yes","Please state the algorithm/method used to achieve encryption at rest.","Please describe plans to encrypt data-at-rest."))</f>
        <v/>
      </c>
      <c r="H186" s="38"/>
      <c r="I186" s="38" t="s">
        <v>449</v>
      </c>
      <c r="J186" s="84"/>
      <c r="K186" s="87"/>
      <c r="L186" s="85">
        <f t="shared" si="3"/>
        <v>0</v>
      </c>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4.349999999999994" customHeight="1" x14ac:dyDescent="0.2">
      <c r="A187" s="22" t="s">
        <v>52</v>
      </c>
      <c r="B187" s="20" t="s">
        <v>65</v>
      </c>
      <c r="C187" s="15"/>
      <c r="D187" s="15"/>
      <c r="E187" s="15"/>
      <c r="F187" s="13"/>
      <c r="G187" s="58"/>
      <c r="H187" s="38"/>
      <c r="I187" s="38"/>
      <c r="J187" s="84"/>
      <c r="K187" s="87"/>
      <c r="L187" s="85">
        <f t="shared" si="3"/>
        <v>0</v>
      </c>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64.349999999999994" customHeight="1" x14ac:dyDescent="0.2">
      <c r="A188" s="22" t="s">
        <v>53</v>
      </c>
      <c r="B188" s="20" t="s">
        <v>540</v>
      </c>
      <c r="C188" s="15"/>
      <c r="D188" s="15"/>
      <c r="E188" s="15"/>
      <c r="F188" s="26"/>
      <c r="G188" s="58"/>
      <c r="H188" s="38"/>
      <c r="I188" s="38" t="s">
        <v>450</v>
      </c>
      <c r="J188" s="84"/>
      <c r="K188" s="87"/>
      <c r="L188" s="85">
        <f t="shared" si="3"/>
        <v>0</v>
      </c>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64.349999999999994" customHeight="1" x14ac:dyDescent="0.2">
      <c r="A189" s="22" t="s">
        <v>54</v>
      </c>
      <c r="B189" s="20" t="s">
        <v>347</v>
      </c>
      <c r="C189" s="15"/>
      <c r="D189" s="15"/>
      <c r="E189" s="15"/>
      <c r="F189" s="26"/>
      <c r="G189" s="58" t="str">
        <f>IF(C189="","",IF(C189="Yes","Please describe or provide a reference to this program.",""))</f>
        <v/>
      </c>
      <c r="H189" s="38">
        <v>38</v>
      </c>
      <c r="I189" s="38" t="s">
        <v>451</v>
      </c>
      <c r="J189" s="84"/>
      <c r="K189" s="87"/>
      <c r="L189" s="85">
        <f t="shared" si="3"/>
        <v>0</v>
      </c>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64.349999999999994" customHeight="1" x14ac:dyDescent="0.2">
      <c r="A190" s="22" t="s">
        <v>55</v>
      </c>
      <c r="B190" s="20" t="s">
        <v>494</v>
      </c>
      <c r="C190" s="15"/>
      <c r="D190" s="15"/>
      <c r="E190" s="15"/>
      <c r="F190" s="26"/>
      <c r="G190" s="58" t="str">
        <f>IF(C190="","",IF(C190="Yes","","Please identify technologies that are not covered by your program, and how data is secured as it pertains to these technologies."))</f>
        <v/>
      </c>
      <c r="H190" s="38">
        <v>41</v>
      </c>
      <c r="I190" s="38" t="s">
        <v>452</v>
      </c>
      <c r="J190" s="84"/>
      <c r="K190" s="87"/>
      <c r="L190" s="85">
        <f t="shared" si="3"/>
        <v>0</v>
      </c>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64.349999999999994" customHeight="1" x14ac:dyDescent="0.2">
      <c r="A191" s="22" t="s">
        <v>56</v>
      </c>
      <c r="B191" s="20" t="s">
        <v>615</v>
      </c>
      <c r="C191" s="15"/>
      <c r="D191" s="15"/>
      <c r="E191" s="15"/>
      <c r="F191" s="26"/>
      <c r="G191" s="58"/>
      <c r="H191" s="38">
        <v>43</v>
      </c>
      <c r="I191" s="38" t="s">
        <v>453</v>
      </c>
      <c r="J191" s="84"/>
      <c r="K191" s="87"/>
      <c r="L191" s="85">
        <f t="shared" si="3"/>
        <v>0</v>
      </c>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64.349999999999994" customHeight="1" x14ac:dyDescent="0.2">
      <c r="A192" s="22" t="s">
        <v>57</v>
      </c>
      <c r="B192" s="20" t="s">
        <v>309</v>
      </c>
      <c r="C192" s="15"/>
      <c r="D192" s="15"/>
      <c r="E192" s="15"/>
      <c r="F192" s="26"/>
      <c r="G192" s="58" t="str">
        <f>IF(C192="","",IF(C192="Yes","Please describe your data loss prevention program and platforms supported.","State any plans to implement data loss prevention capabilities."))</f>
        <v/>
      </c>
      <c r="H192" s="38">
        <v>45</v>
      </c>
      <c r="I192" s="38" t="s">
        <v>454</v>
      </c>
      <c r="J192" s="84"/>
      <c r="K192" s="87"/>
      <c r="L192" s="85">
        <f t="shared" si="3"/>
        <v>0</v>
      </c>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64.349999999999994" customHeight="1" x14ac:dyDescent="0.2">
      <c r="A193" s="22" t="s">
        <v>216</v>
      </c>
      <c r="B193" s="20" t="s">
        <v>315</v>
      </c>
      <c r="C193" s="15"/>
      <c r="D193" s="15"/>
      <c r="E193" s="15"/>
      <c r="F193" s="26"/>
      <c r="G193" s="58" t="str">
        <f>IF(C193="","",IF(C193="Yes","Please describe the process(es) and/or control(s).",""))</f>
        <v/>
      </c>
      <c r="H193" s="38">
        <v>52</v>
      </c>
      <c r="I193" s="38" t="s">
        <v>455</v>
      </c>
      <c r="J193" s="84"/>
      <c r="K193" s="87"/>
      <c r="L193" s="85">
        <f t="shared" si="3"/>
        <v>0</v>
      </c>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48" customHeight="1" x14ac:dyDescent="0.2">
      <c r="A194" s="22" t="s">
        <v>217</v>
      </c>
      <c r="B194" s="20" t="s">
        <v>483</v>
      </c>
      <c r="C194" s="15"/>
      <c r="D194" s="15"/>
      <c r="E194" s="15"/>
      <c r="F194" s="21"/>
      <c r="G194" s="58" t="str">
        <f>IF(C194="","",IF(C194="Yes","Describe the on-site staff capabilities.","State any plans to staff data centers 24x7x365."))</f>
        <v/>
      </c>
      <c r="H194" s="38"/>
      <c r="I194" s="38"/>
      <c r="J194" s="84"/>
      <c r="K194" s="87"/>
      <c r="L194" s="85">
        <f t="shared" si="3"/>
        <v>0</v>
      </c>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64.349999999999994" customHeight="1" x14ac:dyDescent="0.2">
      <c r="A195" s="22" t="s">
        <v>58</v>
      </c>
      <c r="B195" s="20" t="s">
        <v>121</v>
      </c>
      <c r="C195" s="15"/>
      <c r="D195" s="15"/>
      <c r="E195" s="15"/>
      <c r="F195" s="26"/>
      <c r="G195" s="58" t="str">
        <f>IF(C195="","",IF(C195="Yes","Please describe why logical segregation of data is not implemented/possible in your environment.","Please describe how data is segregated."))</f>
        <v/>
      </c>
      <c r="H195" s="38"/>
      <c r="I195" s="38"/>
      <c r="J195" s="84"/>
      <c r="K195" s="87"/>
      <c r="L195" s="85">
        <f t="shared" si="3"/>
        <v>0</v>
      </c>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64.349999999999994" customHeight="1" x14ac:dyDescent="0.2">
      <c r="A196" s="22" t="s">
        <v>60</v>
      </c>
      <c r="B196" s="20" t="s">
        <v>541</v>
      </c>
      <c r="C196" s="15"/>
      <c r="D196" s="15"/>
      <c r="E196" s="15"/>
      <c r="F196" s="26"/>
      <c r="G196" s="58"/>
      <c r="H196" s="38"/>
      <c r="I196" s="38"/>
      <c r="J196" s="84"/>
      <c r="K196" s="87"/>
      <c r="L196" s="85">
        <f t="shared" si="3"/>
        <v>0</v>
      </c>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64.349999999999994" customHeight="1" x14ac:dyDescent="0.2">
      <c r="A197" s="22" t="s">
        <v>61</v>
      </c>
      <c r="B197" s="20" t="s">
        <v>134</v>
      </c>
      <c r="C197" s="15"/>
      <c r="D197" s="15"/>
      <c r="E197" s="15"/>
      <c r="F197" s="26"/>
      <c r="G197" s="58" t="str">
        <f>IF(C197="","",IF(C197="Yes","Please state the algorithm/method used to achieve encryption of databases.","Please describe plans to emcrypt databases."))</f>
        <v/>
      </c>
      <c r="H197" s="38"/>
      <c r="I197" s="38"/>
      <c r="J197" s="84"/>
      <c r="K197" s="87"/>
      <c r="L197" s="85">
        <f t="shared" si="3"/>
        <v>0</v>
      </c>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64.349999999999994" customHeight="1" x14ac:dyDescent="0.2">
      <c r="A198" s="22" t="s">
        <v>63</v>
      </c>
      <c r="B198" s="20" t="s">
        <v>623</v>
      </c>
      <c r="C198" s="15"/>
      <c r="D198" s="15"/>
      <c r="E198" s="15"/>
      <c r="F198" s="26"/>
      <c r="G198" s="58" t="str">
        <f>IF(C198="","",IF(C198="Yes","Please state the algorithm/method used to encrypt unstructured data.","Please describe plans to implement the encryption of unstructured data."))</f>
        <v/>
      </c>
      <c r="H198" s="38"/>
      <c r="I198" s="38"/>
      <c r="J198" s="84"/>
      <c r="K198" s="87"/>
      <c r="L198" s="85">
        <f t="shared" si="3"/>
        <v>0</v>
      </c>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64.349999999999994" customHeight="1" x14ac:dyDescent="0.2">
      <c r="A199" s="22" t="s">
        <v>218</v>
      </c>
      <c r="B199" s="20" t="s">
        <v>142</v>
      </c>
      <c r="C199" s="15"/>
      <c r="D199" s="15"/>
      <c r="E199" s="15"/>
      <c r="F199" s="26"/>
      <c r="G199" s="58" t="str">
        <f>IF(C199="","",IF(C199="Yes","Please describe how workstations and mobile devices are encrypted.","Describe plans to encrypt workstations and/or mobile devices."))</f>
        <v/>
      </c>
      <c r="H199" s="38"/>
      <c r="I199" s="38"/>
      <c r="J199" s="84"/>
      <c r="K199" s="87"/>
      <c r="L199" s="85">
        <f t="shared" si="3"/>
        <v>0</v>
      </c>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64.349999999999994" customHeight="1" x14ac:dyDescent="0.2">
      <c r="A200" s="22" t="s">
        <v>306</v>
      </c>
      <c r="B200" s="20" t="s">
        <v>124</v>
      </c>
      <c r="C200" s="15"/>
      <c r="D200" s="15"/>
      <c r="E200" s="15"/>
      <c r="F200" s="26"/>
      <c r="G200" s="58"/>
      <c r="H200" s="38"/>
      <c r="I200" s="38"/>
      <c r="J200" s="84"/>
      <c r="K200" s="87"/>
      <c r="L200" s="85">
        <f t="shared" si="3"/>
        <v>0</v>
      </c>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64.349999999999994" customHeight="1" x14ac:dyDescent="0.2">
      <c r="A201" s="22" t="s">
        <v>307</v>
      </c>
      <c r="B201" s="20" t="s">
        <v>659</v>
      </c>
      <c r="C201" s="15"/>
      <c r="D201" s="15"/>
      <c r="E201" s="15"/>
      <c r="F201" s="26"/>
      <c r="G201" s="58" t="str">
        <f>IF(C201="","",IF(C201="Yes","Please state the algorithm/method used to achieve encrypt data over TCP/IP.","Please describe plans to encrypt data over TCP/IP."))</f>
        <v/>
      </c>
      <c r="H201" s="38"/>
      <c r="I201" s="38" t="s">
        <v>449</v>
      </c>
      <c r="J201" s="84"/>
      <c r="K201" s="87"/>
      <c r="L201" s="85">
        <f t="shared" si="3"/>
        <v>0</v>
      </c>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64.349999999999994" customHeight="1" x14ac:dyDescent="0.2">
      <c r="A202" s="22" t="s">
        <v>308</v>
      </c>
      <c r="B202" s="20" t="s">
        <v>542</v>
      </c>
      <c r="C202" s="53"/>
      <c r="D202" s="53"/>
      <c r="E202" s="53"/>
      <c r="F202" s="13"/>
      <c r="G202" s="58" t="s">
        <v>256</v>
      </c>
      <c r="H202" s="38"/>
      <c r="I202" s="38"/>
      <c r="J202" s="84"/>
      <c r="K202" s="87"/>
      <c r="L202" s="85">
        <f t="shared" si="3"/>
        <v>0</v>
      </c>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64.349999999999994" customHeight="1" x14ac:dyDescent="0.2">
      <c r="A203" s="22" t="s">
        <v>314</v>
      </c>
      <c r="B203" s="20" t="s">
        <v>543</v>
      </c>
      <c r="C203" s="53"/>
      <c r="D203" s="53"/>
      <c r="E203" s="53"/>
      <c r="F203" s="13"/>
      <c r="G203" s="58" t="str">
        <f>IF(C203="","",IF(C203="Yes","Please list all cloud providers that will host Utility data.",""))</f>
        <v/>
      </c>
      <c r="H203" s="38"/>
      <c r="I203" s="38"/>
      <c r="J203" s="84"/>
      <c r="K203" s="87"/>
      <c r="L203" s="85">
        <f t="shared" si="3"/>
        <v>0</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4.349999999999994" customHeight="1" x14ac:dyDescent="0.2">
      <c r="A204" s="22" t="s">
        <v>342</v>
      </c>
      <c r="B204" s="20" t="s">
        <v>59</v>
      </c>
      <c r="C204" s="53"/>
      <c r="D204" s="53"/>
      <c r="E204" s="53"/>
      <c r="F204" s="13"/>
      <c r="G204" s="58"/>
      <c r="H204" s="38"/>
      <c r="I204" s="38"/>
      <c r="J204" s="84"/>
      <c r="K204" s="87"/>
      <c r="L204" s="85">
        <f t="shared" si="3"/>
        <v>0</v>
      </c>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64.349999999999994" customHeight="1" x14ac:dyDescent="0.2">
      <c r="A205" s="22" t="s">
        <v>363</v>
      </c>
      <c r="B205" s="20" t="s">
        <v>64</v>
      </c>
      <c r="C205" s="15"/>
      <c r="D205" s="15"/>
      <c r="E205" s="15"/>
      <c r="F205" s="13"/>
      <c r="G205" s="58" t="str">
        <f>IF(C205="","",IF(C205="Yes","Please specify the algorithm used to encrypt data backups.","State any plans to encrypt data backups."))</f>
        <v/>
      </c>
      <c r="H205" s="38"/>
      <c r="I205" s="38"/>
      <c r="J205" s="84"/>
      <c r="K205" s="87"/>
      <c r="L205" s="85">
        <f t="shared" si="3"/>
        <v>0</v>
      </c>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64.349999999999994" customHeight="1" x14ac:dyDescent="0.2">
      <c r="A206" s="22" t="s">
        <v>364</v>
      </c>
      <c r="B206" s="20" t="s">
        <v>544</v>
      </c>
      <c r="C206" s="15"/>
      <c r="D206" s="15"/>
      <c r="E206" s="15"/>
      <c r="F206" s="13"/>
      <c r="G206" s="58"/>
      <c r="H206" s="38"/>
      <c r="I206" s="38"/>
      <c r="J206" s="84"/>
      <c r="K206" s="87"/>
      <c r="L206" s="85">
        <f t="shared" si="3"/>
        <v>0</v>
      </c>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64.349999999999994" customHeight="1" x14ac:dyDescent="0.2">
      <c r="A207" s="22" t="s">
        <v>597</v>
      </c>
      <c r="B207" s="20" t="s">
        <v>660</v>
      </c>
      <c r="C207" s="15"/>
      <c r="D207" s="15"/>
      <c r="E207" s="15"/>
      <c r="F207" s="13"/>
      <c r="G207" s="69"/>
      <c r="H207" s="38"/>
      <c r="I207" s="38" t="s">
        <v>598</v>
      </c>
      <c r="J207" s="84"/>
      <c r="K207" s="87"/>
      <c r="L207" s="85">
        <f t="shared" ref="L207:L258" si="4">J207*K207</f>
        <v>0</v>
      </c>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64.349999999999994" customHeight="1" x14ac:dyDescent="0.2">
      <c r="A208" s="120" t="s">
        <v>155</v>
      </c>
      <c r="B208" s="120"/>
      <c r="C208" s="2" t="s">
        <v>574</v>
      </c>
      <c r="D208" s="2" t="s">
        <v>575</v>
      </c>
      <c r="E208" s="2" t="s">
        <v>104</v>
      </c>
      <c r="F208" s="2" t="s">
        <v>17</v>
      </c>
      <c r="G208" s="2" t="s">
        <v>18</v>
      </c>
      <c r="H208" s="2" t="s">
        <v>353</v>
      </c>
      <c r="I208" s="2" t="s">
        <v>380</v>
      </c>
      <c r="J208" s="108" t="s">
        <v>628</v>
      </c>
      <c r="K208" s="109"/>
      <c r="L208" s="83">
        <f>SUM(L209:L220)</f>
        <v>0</v>
      </c>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64.349999999999994" customHeight="1" x14ac:dyDescent="0.2">
      <c r="A209" s="8" t="s">
        <v>219</v>
      </c>
      <c r="B209" s="20" t="s">
        <v>661</v>
      </c>
      <c r="C209" s="15"/>
      <c r="D209" s="15"/>
      <c r="E209" s="15"/>
      <c r="F209" s="13"/>
      <c r="G209" s="58" t="str">
        <f>IF(C209="","",IF(C209="Yes","Please describe your Cyber Security Incident response process, including when notification would be made to purchaser.","State plans to develop and implement a Cyber Ssecurity Incident response process."))</f>
        <v/>
      </c>
      <c r="H209" s="38">
        <v>25</v>
      </c>
      <c r="I209" s="38" t="s">
        <v>456</v>
      </c>
      <c r="J209" s="84"/>
      <c r="K209" s="87"/>
      <c r="L209" s="85">
        <f t="shared" si="4"/>
        <v>0</v>
      </c>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64.349999999999994" customHeight="1" x14ac:dyDescent="0.2">
      <c r="A210" s="8" t="s">
        <v>220</v>
      </c>
      <c r="B210" s="20" t="s">
        <v>662</v>
      </c>
      <c r="C210" s="15"/>
      <c r="D210" s="15"/>
      <c r="E210" s="15"/>
      <c r="F210" s="13"/>
      <c r="G210" s="58"/>
      <c r="H210" s="38">
        <v>28</v>
      </c>
      <c r="I210" s="38" t="s">
        <v>457</v>
      </c>
      <c r="J210" s="84"/>
      <c r="K210" s="87"/>
      <c r="L210" s="85">
        <f t="shared" si="4"/>
        <v>0</v>
      </c>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106.5" customHeight="1" x14ac:dyDescent="0.2">
      <c r="A211" s="8" t="s">
        <v>221</v>
      </c>
      <c r="B211" s="20" t="s">
        <v>616</v>
      </c>
      <c r="C211" s="15"/>
      <c r="D211" s="15"/>
      <c r="E211" s="15"/>
      <c r="F211" s="13"/>
      <c r="G211" s="58" t="s">
        <v>357</v>
      </c>
      <c r="H211" s="38">
        <v>36</v>
      </c>
      <c r="I211" s="38" t="s">
        <v>458</v>
      </c>
      <c r="J211" s="84"/>
      <c r="K211" s="87"/>
      <c r="L211" s="85">
        <f t="shared" si="4"/>
        <v>0</v>
      </c>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64.349999999999994" customHeight="1" x14ac:dyDescent="0.2">
      <c r="A212" s="8" t="s">
        <v>299</v>
      </c>
      <c r="B212" s="20" t="s">
        <v>663</v>
      </c>
      <c r="C212" s="15"/>
      <c r="D212" s="15"/>
      <c r="E212" s="15"/>
      <c r="F212" s="13"/>
      <c r="G212" s="58"/>
      <c r="H212" s="38" t="s">
        <v>459</v>
      </c>
      <c r="I212" s="38" t="s">
        <v>460</v>
      </c>
      <c r="J212" s="84"/>
      <c r="K212" s="87"/>
      <c r="L212" s="85">
        <f t="shared" si="4"/>
        <v>0</v>
      </c>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72" customHeight="1" x14ac:dyDescent="0.2">
      <c r="A213" s="8" t="s">
        <v>297</v>
      </c>
      <c r="B213" s="20" t="s">
        <v>617</v>
      </c>
      <c r="C213" s="15"/>
      <c r="D213" s="15"/>
      <c r="E213" s="15"/>
      <c r="F213" s="27"/>
      <c r="G213" s="58" t="str">
        <f>IF(C213="","",IF(C213="Yes","Please describe this process.","State plans to develop and implement such a process."))</f>
        <v/>
      </c>
      <c r="H213" s="38"/>
      <c r="I213" s="38" t="s">
        <v>461</v>
      </c>
      <c r="J213" s="84"/>
      <c r="K213" s="87"/>
      <c r="L213" s="85">
        <f t="shared" si="4"/>
        <v>0</v>
      </c>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64.349999999999994" customHeight="1" x14ac:dyDescent="0.2">
      <c r="A214" s="8" t="s">
        <v>298</v>
      </c>
      <c r="B214" s="20" t="s">
        <v>348</v>
      </c>
      <c r="C214" s="15"/>
      <c r="D214" s="15"/>
      <c r="E214" s="15"/>
      <c r="F214" s="27"/>
      <c r="G214" s="58" t="s">
        <v>462</v>
      </c>
      <c r="H214" s="38">
        <v>33</v>
      </c>
      <c r="I214" s="38" t="s">
        <v>463</v>
      </c>
      <c r="J214" s="84"/>
      <c r="K214" s="87"/>
      <c r="L214" s="85">
        <f t="shared" si="4"/>
        <v>0</v>
      </c>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64.349999999999994" customHeight="1" x14ac:dyDescent="0.2">
      <c r="A215" s="8" t="s">
        <v>300</v>
      </c>
      <c r="B215" s="20" t="s">
        <v>664</v>
      </c>
      <c r="C215" s="15"/>
      <c r="D215" s="15"/>
      <c r="E215" s="15"/>
      <c r="F215" s="27"/>
      <c r="G215" s="58" t="s">
        <v>464</v>
      </c>
      <c r="H215" s="38">
        <v>26</v>
      </c>
      <c r="I215" s="38" t="s">
        <v>465</v>
      </c>
      <c r="J215" s="84"/>
      <c r="K215" s="87"/>
      <c r="L215" s="85">
        <f t="shared" si="4"/>
        <v>0</v>
      </c>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64.349999999999994" customHeight="1" x14ac:dyDescent="0.2">
      <c r="A216" s="8" t="s">
        <v>301</v>
      </c>
      <c r="B216" s="20" t="s">
        <v>665</v>
      </c>
      <c r="C216" s="15"/>
      <c r="D216" s="15"/>
      <c r="E216" s="15"/>
      <c r="F216" s="27"/>
      <c r="G216" s="58"/>
      <c r="H216" s="38">
        <v>32</v>
      </c>
      <c r="I216" s="38" t="s">
        <v>466</v>
      </c>
      <c r="J216" s="84"/>
      <c r="K216" s="87"/>
      <c r="L216" s="85">
        <f t="shared" si="4"/>
        <v>0</v>
      </c>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64.349999999999994" customHeight="1" x14ac:dyDescent="0.2">
      <c r="A217" s="8" t="s">
        <v>302</v>
      </c>
      <c r="B217" s="20" t="s">
        <v>666</v>
      </c>
      <c r="C217" s="15"/>
      <c r="D217" s="15"/>
      <c r="E217" s="15"/>
      <c r="F217" s="27"/>
      <c r="G217" s="58"/>
      <c r="H217" s="38">
        <v>27</v>
      </c>
      <c r="I217" s="38" t="s">
        <v>467</v>
      </c>
      <c r="J217" s="84"/>
      <c r="K217" s="87"/>
      <c r="L217" s="85">
        <f t="shared" si="4"/>
        <v>0</v>
      </c>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ht="64.349999999999994" customHeight="1" x14ac:dyDescent="0.2">
      <c r="A218" s="8" t="s">
        <v>365</v>
      </c>
      <c r="B218" s="20" t="s">
        <v>667</v>
      </c>
      <c r="C218" s="15"/>
      <c r="D218" s="15"/>
      <c r="E218" s="15"/>
      <c r="F218" s="27"/>
      <c r="G218" s="58"/>
      <c r="H218" s="38">
        <v>29</v>
      </c>
      <c r="I218" s="38" t="s">
        <v>468</v>
      </c>
      <c r="J218" s="84"/>
      <c r="K218" s="87"/>
      <c r="L218" s="85">
        <f t="shared" si="4"/>
        <v>0</v>
      </c>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row>
    <row r="219" spans="1:176" s="63" customFormat="1" ht="64.349999999999994" customHeight="1" x14ac:dyDescent="0.2">
      <c r="A219" s="22" t="s">
        <v>366</v>
      </c>
      <c r="B219" s="20" t="s">
        <v>596</v>
      </c>
      <c r="C219" s="15"/>
      <c r="D219" s="15"/>
      <c r="E219" s="15"/>
      <c r="F219" s="13"/>
      <c r="G219" s="20" t="str">
        <f>IF(C219="","",IF(C219="Yes","What type of system do you use (network-based, host-based, etc.)?","State plans to implement an intrustion detection/prevention system."))</f>
        <v/>
      </c>
      <c r="H219" s="38"/>
      <c r="I219" s="38"/>
      <c r="J219" s="84"/>
      <c r="K219" s="87"/>
      <c r="L219" s="85">
        <f t="shared" si="4"/>
        <v>0</v>
      </c>
    </row>
    <row r="220" spans="1:176" ht="64.349999999999994" customHeight="1" x14ac:dyDescent="0.2">
      <c r="A220" s="8" t="s">
        <v>367</v>
      </c>
      <c r="B220" s="3" t="s">
        <v>156</v>
      </c>
      <c r="C220" s="15"/>
      <c r="D220" s="15"/>
      <c r="E220" s="15"/>
      <c r="F220" s="13"/>
      <c r="G220" s="58"/>
      <c r="H220" s="38"/>
      <c r="I220" s="38"/>
      <c r="J220" s="84"/>
      <c r="K220" s="87"/>
      <c r="L220" s="85">
        <f t="shared" si="4"/>
        <v>0</v>
      </c>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54" x14ac:dyDescent="0.2">
      <c r="A221" s="120" t="s">
        <v>157</v>
      </c>
      <c r="B221" s="120"/>
      <c r="C221" s="2" t="s">
        <v>574</v>
      </c>
      <c r="D221" s="2" t="s">
        <v>575</v>
      </c>
      <c r="E221" s="2" t="s">
        <v>104</v>
      </c>
      <c r="F221" s="2" t="s">
        <v>17</v>
      </c>
      <c r="G221" s="2" t="s">
        <v>18</v>
      </c>
      <c r="H221" s="2" t="s">
        <v>353</v>
      </c>
      <c r="I221" s="2" t="s">
        <v>380</v>
      </c>
      <c r="J221" s="108" t="s">
        <v>628</v>
      </c>
      <c r="K221" s="109"/>
      <c r="L221" s="83">
        <f>SUM(L222:L231)</f>
        <v>0</v>
      </c>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48" customHeight="1" x14ac:dyDescent="0.2">
      <c r="A222" s="8" t="s">
        <v>222</v>
      </c>
      <c r="B222" s="3" t="s">
        <v>545</v>
      </c>
      <c r="C222" s="15"/>
      <c r="D222" s="15"/>
      <c r="E222" s="15"/>
      <c r="F222" s="13"/>
      <c r="G222" s="58" t="s">
        <v>158</v>
      </c>
      <c r="H222" s="39"/>
      <c r="I222" s="39"/>
      <c r="J222" s="84"/>
      <c r="K222" s="87"/>
      <c r="L222" s="85">
        <f t="shared" si="4"/>
        <v>0</v>
      </c>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64.5" customHeight="1" x14ac:dyDescent="0.2">
      <c r="A223" s="8" t="s">
        <v>223</v>
      </c>
      <c r="B223" s="3" t="s">
        <v>75</v>
      </c>
      <c r="C223" s="53"/>
      <c r="D223" s="53"/>
      <c r="E223" s="53"/>
      <c r="F223" s="13"/>
      <c r="G223" s="58" t="s">
        <v>582</v>
      </c>
      <c r="H223" s="39"/>
      <c r="I223" s="39"/>
      <c r="J223" s="84"/>
      <c r="K223" s="87"/>
      <c r="L223" s="85">
        <f t="shared" si="4"/>
        <v>0</v>
      </c>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48" customHeight="1" x14ac:dyDescent="0.2">
      <c r="A224" s="8" t="s">
        <v>224</v>
      </c>
      <c r="B224" s="3" t="s">
        <v>102</v>
      </c>
      <c r="C224" s="15"/>
      <c r="D224" s="15"/>
      <c r="E224" s="15"/>
      <c r="F224" s="14"/>
      <c r="G224" s="58" t="str">
        <f>IF(C224="","",IF(C224="Yes","State the application title as listed within the trusted source.","Decribe how the application is distributed. Also, state any plans to publish the app to a trusted source."))</f>
        <v/>
      </c>
      <c r="H224" s="39"/>
      <c r="I224" s="39"/>
      <c r="J224" s="84"/>
      <c r="K224" s="87"/>
      <c r="L224" s="85">
        <f t="shared" si="4"/>
        <v>0</v>
      </c>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63.75" customHeight="1" x14ac:dyDescent="0.2">
      <c r="A225" s="8" t="s">
        <v>225</v>
      </c>
      <c r="B225" s="3" t="s">
        <v>159</v>
      </c>
      <c r="C225" s="15"/>
      <c r="D225" s="15"/>
      <c r="E225" s="15"/>
      <c r="F225" s="14"/>
      <c r="G225" s="58" t="str">
        <f>IF(C225="","",IF(C225="Yes","Provide a detailed summary for your response.",""))</f>
        <v/>
      </c>
      <c r="H225" s="39"/>
      <c r="I225" s="39"/>
      <c r="J225" s="84"/>
      <c r="K225" s="87"/>
      <c r="L225" s="85">
        <f t="shared" si="4"/>
        <v>0</v>
      </c>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57.75" customHeight="1" x14ac:dyDescent="0.2">
      <c r="A226" s="8" t="s">
        <v>226</v>
      </c>
      <c r="B226" s="3" t="s">
        <v>125</v>
      </c>
      <c r="C226" s="15"/>
      <c r="D226" s="15"/>
      <c r="E226" s="15"/>
      <c r="F226" s="14"/>
      <c r="G226" s="58" t="str">
        <f>IF(C226="","",IF(C226="Yes","Provide a detailed description of what data will be stored and in which location(s), as well as why storing this data in this/these location(s) is necessary.",""))</f>
        <v/>
      </c>
      <c r="H226" s="39"/>
      <c r="I226" s="39"/>
      <c r="J226" s="84"/>
      <c r="K226" s="87"/>
      <c r="L226" s="85">
        <f t="shared" si="4"/>
        <v>0</v>
      </c>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48" customHeight="1" x14ac:dyDescent="0.2">
      <c r="A227" s="8" t="s">
        <v>227</v>
      </c>
      <c r="B227" s="3" t="s">
        <v>546</v>
      </c>
      <c r="C227" s="15"/>
      <c r="D227" s="15"/>
      <c r="E227" s="15"/>
      <c r="F227" s="14"/>
      <c r="G227" s="58" t="str">
        <f>IF(C227="","",IF(C227="Yes","Summarize your MDM capabilities.","State any plans to implement a MDM platform in your environment."))</f>
        <v/>
      </c>
      <c r="H227" s="39"/>
      <c r="I227" s="39"/>
      <c r="J227" s="84"/>
      <c r="K227" s="87"/>
      <c r="L227" s="85">
        <f t="shared" si="4"/>
        <v>0</v>
      </c>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48" customHeight="1" x14ac:dyDescent="0.2">
      <c r="A228" s="8" t="s">
        <v>228</v>
      </c>
      <c r="B228" s="3" t="s">
        <v>126</v>
      </c>
      <c r="C228" s="15"/>
      <c r="D228" s="15"/>
      <c r="E228" s="15"/>
      <c r="F228" s="14"/>
      <c r="G228" s="58" t="str">
        <f>IF(C228="","",IF(C228="Yes","State any capabilities and plans to detect and prevent the use of jailbroken devices.","Please provide an explanation on how this is enforced."))</f>
        <v/>
      </c>
      <c r="H228" s="39"/>
      <c r="I228" s="39"/>
      <c r="J228" s="84"/>
      <c r="K228" s="87"/>
      <c r="L228" s="85">
        <f t="shared" si="4"/>
        <v>0</v>
      </c>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48" customHeight="1" x14ac:dyDescent="0.2">
      <c r="A229" s="8" t="s">
        <v>229</v>
      </c>
      <c r="B229" s="3" t="s">
        <v>547</v>
      </c>
      <c r="C229" s="15"/>
      <c r="D229" s="15"/>
      <c r="E229" s="15"/>
      <c r="F229" s="14"/>
      <c r="G229" s="58" t="str">
        <f>IF(C229="","",IF(C229="Yes","Describe how data is encrypted in transport. (i.e. from system to app)","Summarize why data is not encrypted in transport. (i.e. from system to app)"))</f>
        <v/>
      </c>
      <c r="H229" s="39"/>
      <c r="I229" s="39"/>
      <c r="J229" s="84"/>
      <c r="K229" s="87"/>
      <c r="L229" s="85">
        <f t="shared" si="4"/>
        <v>0</v>
      </c>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48" customHeight="1" x14ac:dyDescent="0.2">
      <c r="A230" s="8" t="s">
        <v>230</v>
      </c>
      <c r="B230" s="3" t="s">
        <v>548</v>
      </c>
      <c r="C230" s="15"/>
      <c r="D230" s="15"/>
      <c r="E230" s="15"/>
      <c r="F230" s="14"/>
      <c r="G230" s="58" t="str">
        <f>IF(C230="","",IF(C230="Yes","Describe how data is encrypted in storage (i.e. at-rest within the app).","Summarize why data is not encrypted in storage (i.e. at-rest within the app)"))</f>
        <v/>
      </c>
      <c r="H230" s="39"/>
      <c r="I230" s="39"/>
      <c r="J230" s="84"/>
      <c r="K230" s="87"/>
      <c r="L230" s="85">
        <f t="shared" si="4"/>
        <v>0</v>
      </c>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67.5" customHeight="1" x14ac:dyDescent="0.2">
      <c r="A231" s="8" t="s">
        <v>231</v>
      </c>
      <c r="B231" s="3" t="s">
        <v>160</v>
      </c>
      <c r="C231" s="15"/>
      <c r="D231" s="15"/>
      <c r="E231" s="15"/>
      <c r="F231" s="14"/>
      <c r="G231" s="58" t="str">
        <f>IF(C231="","",IF(C231="Yes","Please provide additional information on the methodology used for the vulnerability testing and indicate if the testing was internal or external.","Please state any plans to perform vulnerability testing on the application."))</f>
        <v/>
      </c>
      <c r="H231" s="39"/>
      <c r="I231" s="39"/>
      <c r="J231" s="84"/>
      <c r="K231" s="87"/>
      <c r="L231" s="85">
        <f t="shared" si="4"/>
        <v>0</v>
      </c>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64.349999999999994" customHeight="1" x14ac:dyDescent="0.2">
      <c r="A232" s="120" t="s">
        <v>161</v>
      </c>
      <c r="B232" s="120"/>
      <c r="C232" s="2" t="s">
        <v>574</v>
      </c>
      <c r="D232" s="2" t="s">
        <v>575</v>
      </c>
      <c r="E232" s="2" t="s">
        <v>104</v>
      </c>
      <c r="F232" s="2" t="s">
        <v>17</v>
      </c>
      <c r="G232" s="2" t="s">
        <v>18</v>
      </c>
      <c r="H232" s="2" t="s">
        <v>353</v>
      </c>
      <c r="I232" s="2" t="s">
        <v>380</v>
      </c>
      <c r="J232" s="108" t="s">
        <v>628</v>
      </c>
      <c r="K232" s="109"/>
      <c r="L232" s="83">
        <f>SUM(L233:L258)</f>
        <v>0</v>
      </c>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64.349999999999994" customHeight="1" x14ac:dyDescent="0.2">
      <c r="A233" s="8" t="s">
        <v>232</v>
      </c>
      <c r="B233" s="3" t="s">
        <v>76</v>
      </c>
      <c r="C233" s="15"/>
      <c r="D233" s="15"/>
      <c r="E233" s="15"/>
      <c r="F233" s="14"/>
      <c r="G233" s="59" t="str">
        <f>IF(C233="","",IF(C233="Yes","Provide a copy of your physical security controls and policies along with this document (link or attached).","Describe your intent to implement physical security controls and policies."))</f>
        <v/>
      </c>
      <c r="H233" s="38"/>
      <c r="I233" s="38"/>
      <c r="J233" s="84"/>
      <c r="K233" s="87"/>
      <c r="L233" s="85">
        <f t="shared" si="4"/>
        <v>0</v>
      </c>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64.349999999999994" customHeight="1" x14ac:dyDescent="0.2">
      <c r="A234" s="8" t="s">
        <v>233</v>
      </c>
      <c r="B234" s="20" t="s">
        <v>127</v>
      </c>
      <c r="C234" s="15"/>
      <c r="D234" s="15"/>
      <c r="E234" s="15"/>
      <c r="F234" s="21"/>
      <c r="G234" s="58" t="str">
        <f>IF(C234="","",IF(C234="Yes","List open source code or freeware/shareware utilized, including frameworks. Describe how you verify integrity and maintain this code, including monitoring for vulnerabilities and deploying patches.",""))</f>
        <v/>
      </c>
      <c r="H234" s="38"/>
      <c r="I234" s="38"/>
      <c r="J234" s="84"/>
      <c r="K234" s="87"/>
      <c r="L234" s="85">
        <f t="shared" si="4"/>
        <v>0</v>
      </c>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64.349999999999994" customHeight="1" x14ac:dyDescent="0.2">
      <c r="A235" s="8" t="s">
        <v>234</v>
      </c>
      <c r="B235" s="20" t="s">
        <v>275</v>
      </c>
      <c r="C235" s="15"/>
      <c r="D235" s="15"/>
      <c r="E235" s="15"/>
      <c r="F235" s="21"/>
      <c r="G235" s="58" t="str">
        <f>IF(C235="","",IF(C235="Yes","Please describe in appropriate detail.","Please describe how you ensure security of products during electronic transport."))</f>
        <v/>
      </c>
      <c r="H235" s="38">
        <v>60</v>
      </c>
      <c r="I235" s="38" t="s">
        <v>469</v>
      </c>
      <c r="J235" s="84"/>
      <c r="K235" s="87"/>
      <c r="L235" s="85">
        <f t="shared" si="4"/>
        <v>0</v>
      </c>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64.349999999999994" customHeight="1" x14ac:dyDescent="0.2">
      <c r="A236" s="8" t="s">
        <v>235</v>
      </c>
      <c r="B236" s="20" t="s">
        <v>618</v>
      </c>
      <c r="C236" s="15"/>
      <c r="D236" s="15"/>
      <c r="E236" s="15"/>
      <c r="F236" s="21"/>
      <c r="G236" s="58" t="str">
        <f>IF(C236="","",IF(C236="Yes","Please describe how this is accomplished.",""))</f>
        <v/>
      </c>
      <c r="H236" s="38"/>
      <c r="I236" s="38" t="s">
        <v>470</v>
      </c>
      <c r="J236" s="84"/>
      <c r="K236" s="87"/>
      <c r="L236" s="85">
        <f t="shared" si="4"/>
        <v>0</v>
      </c>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64.349999999999994" customHeight="1" x14ac:dyDescent="0.2">
      <c r="A237" s="8" t="s">
        <v>236</v>
      </c>
      <c r="B237" s="20" t="s">
        <v>349</v>
      </c>
      <c r="C237" s="15"/>
      <c r="D237" s="15"/>
      <c r="E237" s="15"/>
      <c r="F237" s="21"/>
      <c r="G237" s="58"/>
      <c r="H237" s="38" t="s">
        <v>471</v>
      </c>
      <c r="I237" s="38" t="s">
        <v>472</v>
      </c>
      <c r="J237" s="84"/>
      <c r="K237" s="87"/>
      <c r="L237" s="85">
        <f t="shared" si="4"/>
        <v>0</v>
      </c>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64.349999999999994" customHeight="1" x14ac:dyDescent="0.2">
      <c r="A238" s="8" t="s">
        <v>237</v>
      </c>
      <c r="B238" s="20" t="s">
        <v>549</v>
      </c>
      <c r="C238" s="15"/>
      <c r="D238" s="15"/>
      <c r="E238" s="15"/>
      <c r="F238" s="21"/>
      <c r="G238" s="58"/>
      <c r="H238" s="38">
        <v>51</v>
      </c>
      <c r="I238" s="38" t="s">
        <v>473</v>
      </c>
      <c r="J238" s="84"/>
      <c r="K238" s="87"/>
      <c r="L238" s="85">
        <f t="shared" si="4"/>
        <v>0</v>
      </c>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64.349999999999994" customHeight="1" x14ac:dyDescent="0.2">
      <c r="A239" s="8" t="s">
        <v>238</v>
      </c>
      <c r="B239" s="20" t="s">
        <v>294</v>
      </c>
      <c r="C239" s="15"/>
      <c r="D239" s="15"/>
      <c r="E239" s="15"/>
      <c r="F239" s="21"/>
      <c r="G239" s="58"/>
      <c r="H239" s="38">
        <v>20</v>
      </c>
      <c r="I239" s="38"/>
      <c r="J239" s="84"/>
      <c r="K239" s="87"/>
      <c r="L239" s="85">
        <f t="shared" si="4"/>
        <v>0</v>
      </c>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64.349999999999994" customHeight="1" x14ac:dyDescent="0.2">
      <c r="A240" s="8" t="s">
        <v>239</v>
      </c>
      <c r="B240" s="20" t="s">
        <v>495</v>
      </c>
      <c r="C240" s="15"/>
      <c r="D240" s="15"/>
      <c r="E240" s="15"/>
      <c r="F240" s="21"/>
      <c r="G240" s="58"/>
      <c r="H240" s="38">
        <v>37</v>
      </c>
      <c r="I240" s="38" t="s">
        <v>474</v>
      </c>
      <c r="J240" s="84"/>
      <c r="K240" s="87"/>
      <c r="L240" s="85">
        <f t="shared" si="4"/>
        <v>0</v>
      </c>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66" customHeight="1" x14ac:dyDescent="0.2">
      <c r="A241" s="8" t="s">
        <v>240</v>
      </c>
      <c r="B241" s="20" t="s">
        <v>619</v>
      </c>
      <c r="C241" s="15"/>
      <c r="D241" s="15"/>
      <c r="E241" s="15"/>
      <c r="F241" s="21"/>
      <c r="G241" s="58" t="str">
        <f>IF(C241="","",IF(C241="Yes","Please describe this program.","Please describe how this is accomplished in absence of formal process or program."))</f>
        <v/>
      </c>
      <c r="H241" s="38">
        <v>49</v>
      </c>
      <c r="I241" s="38" t="s">
        <v>475</v>
      </c>
      <c r="J241" s="84"/>
      <c r="K241" s="87"/>
      <c r="L241" s="85">
        <f t="shared" si="4"/>
        <v>0</v>
      </c>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73.5" customHeight="1" x14ac:dyDescent="0.2">
      <c r="A242" s="8" t="s">
        <v>241</v>
      </c>
      <c r="B242" s="20" t="s">
        <v>317</v>
      </c>
      <c r="C242" s="15"/>
      <c r="D242" s="15"/>
      <c r="E242" s="15"/>
      <c r="F242" s="21"/>
      <c r="G242" s="58"/>
      <c r="H242" s="38">
        <v>53</v>
      </c>
      <c r="I242" s="38" t="s">
        <v>476</v>
      </c>
      <c r="J242" s="84"/>
      <c r="K242" s="87"/>
      <c r="L242" s="85">
        <f t="shared" si="4"/>
        <v>0</v>
      </c>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64.349999999999994" customHeight="1" x14ac:dyDescent="0.2">
      <c r="A243" s="8" t="s">
        <v>242</v>
      </c>
      <c r="B243" s="20" t="s">
        <v>550</v>
      </c>
      <c r="C243" s="15"/>
      <c r="D243" s="15"/>
      <c r="E243" s="15"/>
      <c r="F243" s="21"/>
      <c r="G243" s="58"/>
      <c r="H243" s="38"/>
      <c r="I243" s="38" t="s">
        <v>477</v>
      </c>
      <c r="J243" s="84"/>
      <c r="K243" s="87"/>
      <c r="L243" s="85">
        <f t="shared" si="4"/>
        <v>0</v>
      </c>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76.5" customHeight="1" x14ac:dyDescent="0.2">
      <c r="A244" s="8" t="s">
        <v>243</v>
      </c>
      <c r="B244" s="20" t="s">
        <v>551</v>
      </c>
      <c r="C244" s="15"/>
      <c r="D244" s="15"/>
      <c r="E244" s="15"/>
      <c r="F244" s="21"/>
      <c r="G244" s="58"/>
      <c r="H244" s="38"/>
      <c r="I244" s="38" t="s">
        <v>478</v>
      </c>
      <c r="J244" s="84"/>
      <c r="K244" s="87"/>
      <c r="L244" s="85">
        <f t="shared" si="4"/>
        <v>0</v>
      </c>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78.75" customHeight="1" x14ac:dyDescent="0.2">
      <c r="A245" s="22" t="s">
        <v>244</v>
      </c>
      <c r="B245" s="20" t="s">
        <v>601</v>
      </c>
      <c r="C245" s="15"/>
      <c r="D245" s="15"/>
      <c r="E245" s="15"/>
      <c r="F245" s="21"/>
      <c r="G245" s="69" t="str">
        <f>IF(C245="","",IF(C245="Yes","Please describe these controls.",""))</f>
        <v/>
      </c>
      <c r="H245" s="38">
        <v>16</v>
      </c>
      <c r="I245" s="38" t="s">
        <v>428</v>
      </c>
      <c r="J245" s="84"/>
      <c r="K245" s="87"/>
      <c r="L245" s="85">
        <f t="shared" si="4"/>
        <v>0</v>
      </c>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64.349999999999994" customHeight="1" x14ac:dyDescent="0.2">
      <c r="A246" s="8" t="s">
        <v>245</v>
      </c>
      <c r="B246" s="20" t="s">
        <v>354</v>
      </c>
      <c r="C246" s="15"/>
      <c r="D246" s="15"/>
      <c r="E246" s="15"/>
      <c r="F246" s="21"/>
      <c r="G246" s="58"/>
      <c r="H246" s="38"/>
      <c r="I246" s="38"/>
      <c r="J246" s="84"/>
      <c r="K246" s="87"/>
      <c r="L246" s="85">
        <f t="shared" si="4"/>
        <v>0</v>
      </c>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51" customHeight="1" x14ac:dyDescent="0.2">
      <c r="A247" s="8" t="s">
        <v>254</v>
      </c>
      <c r="B247" s="20" t="s">
        <v>668</v>
      </c>
      <c r="C247" s="15"/>
      <c r="D247" s="15"/>
      <c r="E247" s="15"/>
      <c r="F247" s="21"/>
      <c r="G247" s="58" t="str">
        <f>IF(C247="","",IF(C247="Yes","Please describe how the antimalware is maintained and kept up-to-date.","Please describe any plans to install antimalware on all end nodes."))</f>
        <v/>
      </c>
      <c r="H247" s="38"/>
      <c r="I247" s="38"/>
      <c r="J247" s="84"/>
      <c r="K247" s="87"/>
      <c r="L247" s="85">
        <f t="shared" si="4"/>
        <v>0</v>
      </c>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64.349999999999994" customHeight="1" x14ac:dyDescent="0.2">
      <c r="A248" s="8" t="s">
        <v>274</v>
      </c>
      <c r="B248" s="3" t="s">
        <v>162</v>
      </c>
      <c r="C248" s="15"/>
      <c r="D248" s="15"/>
      <c r="E248" s="15"/>
      <c r="F248" s="14"/>
      <c r="G248" s="58" t="str">
        <f>IF(C248="","",IF(C248="Yes","Please describe your endpoint protection strategy.","Please describe your endpoint protection strategy."))</f>
        <v/>
      </c>
      <c r="H248" s="38"/>
      <c r="I248" s="38"/>
      <c r="J248" s="84"/>
      <c r="K248" s="87"/>
      <c r="L248" s="85">
        <f t="shared" si="4"/>
        <v>0</v>
      </c>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52.5" customHeight="1" x14ac:dyDescent="0.2">
      <c r="A249" s="8" t="s">
        <v>277</v>
      </c>
      <c r="B249" s="3" t="s">
        <v>132</v>
      </c>
      <c r="C249" s="15"/>
      <c r="D249" s="15"/>
      <c r="E249" s="15"/>
      <c r="F249" s="14"/>
      <c r="G249" s="59" t="str">
        <f>IF(C249="","",IF(C249="Yes","Describe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9" s="38"/>
      <c r="I249" s="38"/>
      <c r="J249" s="84"/>
      <c r="K249" s="87"/>
      <c r="L249" s="85">
        <f t="shared" si="4"/>
        <v>0</v>
      </c>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64.349999999999994" customHeight="1" x14ac:dyDescent="0.2">
      <c r="A250" s="8" t="s">
        <v>281</v>
      </c>
      <c r="B250" s="4" t="s">
        <v>139</v>
      </c>
      <c r="C250" s="15"/>
      <c r="D250" s="15"/>
      <c r="E250" s="15"/>
      <c r="F250" s="14"/>
      <c r="G250" s="59" t="str">
        <f>IF(C250="","",IF(C250="Yes","Please provide a copy of the most recent audit.","State any plans to have a SOC 2 Type II audit conducted."))</f>
        <v/>
      </c>
      <c r="H250" s="38"/>
      <c r="I250" s="38"/>
      <c r="J250" s="84"/>
      <c r="K250" s="87"/>
      <c r="L250" s="85">
        <f t="shared" si="4"/>
        <v>0</v>
      </c>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64.349999999999994" customHeight="1" x14ac:dyDescent="0.2">
      <c r="A251" s="8" t="s">
        <v>282</v>
      </c>
      <c r="B251" s="37" t="s">
        <v>669</v>
      </c>
      <c r="C251" s="15"/>
      <c r="D251" s="15"/>
      <c r="E251" s="15"/>
      <c r="F251" s="14"/>
      <c r="G251" s="59" t="str">
        <f>IF(C251="","",IF(C251="Yes","Please provide any currently effective certifications.","State any plans to obtain such compliance certifications."))</f>
        <v/>
      </c>
      <c r="H251" s="38"/>
      <c r="I251" s="38"/>
      <c r="J251" s="84"/>
      <c r="K251" s="87"/>
      <c r="L251" s="85">
        <f t="shared" si="4"/>
        <v>0</v>
      </c>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73.5" customHeight="1" x14ac:dyDescent="0.2">
      <c r="A252" s="8" t="s">
        <v>293</v>
      </c>
      <c r="B252" s="37" t="s">
        <v>670</v>
      </c>
      <c r="C252" s="15"/>
      <c r="D252" s="15"/>
      <c r="E252" s="15"/>
      <c r="F252" s="14"/>
      <c r="G252" s="58"/>
      <c r="H252" s="38"/>
      <c r="I252" s="38"/>
      <c r="J252" s="84"/>
      <c r="K252" s="87"/>
      <c r="L252" s="85">
        <f t="shared" si="4"/>
        <v>0</v>
      </c>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64.349999999999994" customHeight="1" x14ac:dyDescent="0.2">
      <c r="A253" s="8" t="s">
        <v>303</v>
      </c>
      <c r="B253" s="3" t="s">
        <v>552</v>
      </c>
      <c r="C253" s="15"/>
      <c r="D253" s="15"/>
      <c r="E253" s="15"/>
      <c r="F253" s="14"/>
      <c r="G253" s="58" t="str">
        <f>IF(C253="","",IF(C253="Yes","Provide a detailed summary outlining the security controls implemented to protect the Utility's data.",""))</f>
        <v/>
      </c>
      <c r="H253" s="38"/>
      <c r="I253" s="38"/>
      <c r="J253" s="84"/>
      <c r="K253" s="87"/>
      <c r="L253" s="85">
        <f t="shared" si="4"/>
        <v>0</v>
      </c>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46.5" customHeight="1" x14ac:dyDescent="0.2">
      <c r="A254" s="8" t="s">
        <v>312</v>
      </c>
      <c r="B254" s="3" t="s">
        <v>77</v>
      </c>
      <c r="C254" s="15"/>
      <c r="D254" s="15"/>
      <c r="E254" s="15"/>
      <c r="F254" s="14"/>
      <c r="G254" s="58" t="str">
        <f>IF(C254="","",IF(C254="Yes","State the retention period for security video.","State your plans to retain video monitoring feeds."))</f>
        <v/>
      </c>
      <c r="H254" s="38"/>
      <c r="I254" s="38"/>
      <c r="J254" s="84"/>
      <c r="K254" s="87"/>
      <c r="L254" s="85">
        <f t="shared" si="4"/>
        <v>0</v>
      </c>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46.5" customHeight="1" x14ac:dyDescent="0.2">
      <c r="A255" s="8" t="s">
        <v>316</v>
      </c>
      <c r="B255" s="3" t="s">
        <v>78</v>
      </c>
      <c r="C255" s="15"/>
      <c r="D255" s="15"/>
      <c r="E255" s="15"/>
      <c r="F255" s="14"/>
      <c r="G255" s="58" t="str">
        <f>IF(C255="","",IF(C255="Yes","Summarize your video monitoring strategy for datacenter staff.","Describe plans to have video feed(s) monitored."))</f>
        <v/>
      </c>
      <c r="H255" s="38"/>
      <c r="I255" s="38"/>
      <c r="J255" s="84"/>
      <c r="K255" s="87"/>
      <c r="L255" s="85">
        <f t="shared" si="4"/>
        <v>0</v>
      </c>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64.349999999999994" customHeight="1" x14ac:dyDescent="0.2">
      <c r="A256" s="8" t="s">
        <v>326</v>
      </c>
      <c r="B256" s="3" t="s">
        <v>496</v>
      </c>
      <c r="C256" s="15"/>
      <c r="D256" s="15"/>
      <c r="E256" s="15"/>
      <c r="F256" s="14"/>
      <c r="G256" s="56" t="str">
        <f>IF(C256="","",IF(C256="Yes","Describe all operating systems that are not currently supported, why they still need to be used (i.e. why they cannot be updated), and methods utilized to secure and maintain them.",""))</f>
        <v/>
      </c>
      <c r="H256" s="38"/>
      <c r="I256" s="38"/>
      <c r="J256" s="84"/>
      <c r="K256" s="87"/>
      <c r="L256" s="85">
        <f t="shared" si="4"/>
        <v>0</v>
      </c>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48.75" customHeight="1" x14ac:dyDescent="0.2">
      <c r="A257" s="8" t="s">
        <v>329</v>
      </c>
      <c r="B257" s="3" t="s">
        <v>553</v>
      </c>
      <c r="C257" s="15"/>
      <c r="D257" s="15"/>
      <c r="E257" s="15"/>
      <c r="F257" s="14"/>
      <c r="G257" s="56" t="str">
        <f>IF(C257="","",IF(C257="Yes","Detail all web browsers that are not currently supported, why they still need to be used (i.e. why they cannot be updated), and methods utilized to secure and maintain them.",""))</f>
        <v/>
      </c>
      <c r="H257" s="38"/>
      <c r="I257" s="38"/>
      <c r="J257" s="84"/>
      <c r="K257" s="87"/>
      <c r="L257" s="85">
        <f t="shared" si="4"/>
        <v>0</v>
      </c>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48.75" customHeight="1" x14ac:dyDescent="0.2">
      <c r="A258" s="8" t="s">
        <v>356</v>
      </c>
      <c r="B258" s="3" t="s">
        <v>82</v>
      </c>
      <c r="C258" s="15"/>
      <c r="D258" s="15"/>
      <c r="E258" s="15"/>
      <c r="F258" s="14"/>
      <c r="G258" s="58" t="str">
        <f>IF(C258="","",IF(C258="Yes","Summarize the information security principles designed into the product lifecycle and how they are integrated.","Describe why security principles are not designed into the product lifecycle."))</f>
        <v/>
      </c>
      <c r="H258" s="38"/>
      <c r="I258" s="38"/>
      <c r="J258" s="84"/>
      <c r="K258" s="87"/>
      <c r="L258" s="85">
        <f t="shared" si="4"/>
        <v>0</v>
      </c>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54" x14ac:dyDescent="0.2">
      <c r="A259" s="120" t="s">
        <v>148</v>
      </c>
      <c r="B259" s="120"/>
      <c r="C259" s="2" t="s">
        <v>574</v>
      </c>
      <c r="D259" s="2" t="s">
        <v>575</v>
      </c>
      <c r="E259" s="2" t="s">
        <v>104</v>
      </c>
      <c r="F259" s="2" t="s">
        <v>17</v>
      </c>
      <c r="G259" s="2" t="s">
        <v>18</v>
      </c>
      <c r="H259" s="2" t="s">
        <v>353</v>
      </c>
      <c r="I259" s="2" t="s">
        <v>380</v>
      </c>
      <c r="J259" s="108" t="s">
        <v>628</v>
      </c>
      <c r="K259" s="109"/>
      <c r="L259" s="83">
        <f>SUM(L260:L275)</f>
        <v>0</v>
      </c>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56.25" customHeight="1" x14ac:dyDescent="0.2">
      <c r="A260" s="8" t="s">
        <v>85</v>
      </c>
      <c r="B260" s="20" t="s">
        <v>352</v>
      </c>
      <c r="C260" s="15"/>
      <c r="D260" s="15"/>
      <c r="E260" s="15"/>
      <c r="F260" s="14"/>
      <c r="G260" s="58" t="str">
        <f>IF(C260="","",IF(C260="Yes","Describe your external application vulnerability scanning strategy and provide when the last assessment was performed","Describe any plans to implement external vulnerability scanning for your applications."))</f>
        <v/>
      </c>
      <c r="H260" s="38"/>
      <c r="I260" s="38"/>
      <c r="J260" s="84"/>
      <c r="K260" s="87"/>
      <c r="L260" s="85">
        <f t="shared" ref="L260:L277" si="5">J260*K260</f>
        <v>0</v>
      </c>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65.099999999999994" customHeight="1" x14ac:dyDescent="0.2">
      <c r="A261" s="8" t="s">
        <v>86</v>
      </c>
      <c r="B261" s="3" t="s">
        <v>88</v>
      </c>
      <c r="C261" s="15"/>
      <c r="D261" s="15"/>
      <c r="E261" s="15"/>
      <c r="F261" s="14"/>
      <c r="G261" s="58" t="str">
        <f>IF(C261="","",IF(C261="Yes","Summarize your vulnerability scanning strategy.","Describe plans to implement application vulnerability scanning prior to release."))</f>
        <v/>
      </c>
      <c r="H261" s="38"/>
      <c r="I261" s="38"/>
      <c r="J261" s="84"/>
      <c r="K261" s="87"/>
      <c r="L261" s="85">
        <f t="shared" si="5"/>
        <v>0</v>
      </c>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75" customHeight="1" x14ac:dyDescent="0.2">
      <c r="A262" s="8" t="s">
        <v>87</v>
      </c>
      <c r="B262" s="3" t="s">
        <v>80</v>
      </c>
      <c r="C262" s="15"/>
      <c r="D262" s="15"/>
      <c r="E262" s="15"/>
      <c r="F262" s="14"/>
      <c r="G262" s="60" t="str">
        <f>IF(C262="","",IF(C262="Yes","Provide a list of the results and all tools utilized during static code analysis or static application security testing.","State your plans to implement static code testing practices into your environment."))</f>
        <v/>
      </c>
      <c r="H262" s="38"/>
      <c r="I262" s="38"/>
      <c r="J262" s="84"/>
      <c r="K262" s="87"/>
      <c r="L262" s="85">
        <f t="shared" si="5"/>
        <v>0</v>
      </c>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102" customHeight="1" x14ac:dyDescent="0.2">
      <c r="A263" s="8" t="s">
        <v>89</v>
      </c>
      <c r="B263" s="20" t="s">
        <v>620</v>
      </c>
      <c r="C263" s="15"/>
      <c r="D263" s="15"/>
      <c r="E263" s="15"/>
      <c r="F263" s="21"/>
      <c r="G263" s="58"/>
      <c r="H263" s="38"/>
      <c r="I263" s="38" t="s">
        <v>477</v>
      </c>
      <c r="J263" s="84"/>
      <c r="K263" s="87"/>
      <c r="L263" s="85">
        <f t="shared" si="5"/>
        <v>0</v>
      </c>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90.95" customHeight="1" x14ac:dyDescent="0.2">
      <c r="A264" s="8" t="s">
        <v>90</v>
      </c>
      <c r="B264" s="20" t="s">
        <v>554</v>
      </c>
      <c r="C264" s="15"/>
      <c r="D264" s="15"/>
      <c r="E264" s="15"/>
      <c r="F264" s="21"/>
      <c r="G264" s="56" t="str">
        <f>IF(C264="","",IF(C264="Yes","Please describe in adequate detail, including timeframe for notification.",""))</f>
        <v/>
      </c>
      <c r="H264" s="38">
        <v>57</v>
      </c>
      <c r="I264" s="38" t="s">
        <v>479</v>
      </c>
      <c r="J264" s="84"/>
      <c r="K264" s="87"/>
      <c r="L264" s="85">
        <f t="shared" si="5"/>
        <v>0</v>
      </c>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71.25" customHeight="1" x14ac:dyDescent="0.2">
      <c r="A265" s="8" t="s">
        <v>91</v>
      </c>
      <c r="B265" s="20" t="s">
        <v>671</v>
      </c>
      <c r="C265" s="15"/>
      <c r="D265" s="15"/>
      <c r="E265" s="15"/>
      <c r="F265" s="21"/>
      <c r="G265" s="56" t="str">
        <f>IF(C265="","",IF(C265="Yes","Describe your process to remediate security risks identified and provide timeframe.","Describe any plans to implement a process to remediate security risks identified."))</f>
        <v/>
      </c>
      <c r="H265" s="38"/>
      <c r="I265" s="38"/>
      <c r="J265" s="84"/>
      <c r="K265" s="87"/>
      <c r="L265" s="85">
        <f t="shared" si="5"/>
        <v>0</v>
      </c>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62.25" customHeight="1" x14ac:dyDescent="0.2">
      <c r="A266" s="8" t="s">
        <v>92</v>
      </c>
      <c r="B266" s="20" t="s">
        <v>621</v>
      </c>
      <c r="C266" s="15"/>
      <c r="D266" s="15"/>
      <c r="E266" s="15"/>
      <c r="F266" s="21"/>
      <c r="G266" s="56"/>
      <c r="H266" s="38"/>
      <c r="I266" s="38"/>
      <c r="J266" s="84"/>
      <c r="K266" s="87"/>
      <c r="L266" s="85">
        <f t="shared" si="5"/>
        <v>0</v>
      </c>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55.5" customHeight="1" x14ac:dyDescent="0.2">
      <c r="A267" s="8" t="s">
        <v>246</v>
      </c>
      <c r="B267" s="3" t="s">
        <v>115</v>
      </c>
      <c r="C267" s="15"/>
      <c r="D267" s="15"/>
      <c r="E267" s="15"/>
      <c r="F267" s="14"/>
      <c r="G267" s="58" t="str">
        <f>IF(C267="","",IF(C267="Yes","Decribe your external system vulnerability scanning strategy, including the frequency of both types of scans.","Describe any plans to implement vulnerability scanning for your systems."))</f>
        <v/>
      </c>
      <c r="H267" s="38" t="s">
        <v>583</v>
      </c>
      <c r="I267" s="38" t="s">
        <v>472</v>
      </c>
      <c r="J267" s="84"/>
      <c r="K267" s="87"/>
      <c r="L267" s="85">
        <f t="shared" si="5"/>
        <v>0</v>
      </c>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48" customHeight="1" x14ac:dyDescent="0.2">
      <c r="A268" s="8" t="s">
        <v>247</v>
      </c>
      <c r="B268" s="3" t="s">
        <v>116</v>
      </c>
      <c r="C268" s="15"/>
      <c r="D268" s="15"/>
      <c r="E268" s="15"/>
      <c r="F268" s="14"/>
      <c r="G268" s="58" t="str">
        <f>IF(C268="","",IF(C268="Yes","State the date of your most recent system external assessment.","Describe any plans to have system external assessment(s) performed on your systems."))</f>
        <v/>
      </c>
      <c r="H268" s="38"/>
      <c r="I268" s="38"/>
      <c r="J268" s="84"/>
      <c r="K268" s="87"/>
      <c r="L268" s="85">
        <f t="shared" si="5"/>
        <v>0</v>
      </c>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65.099999999999994" customHeight="1" x14ac:dyDescent="0.2">
      <c r="A269" s="8" t="s">
        <v>248</v>
      </c>
      <c r="B269" s="3" t="s">
        <v>94</v>
      </c>
      <c r="C269" s="15"/>
      <c r="D269" s="15"/>
      <c r="E269" s="15"/>
      <c r="F269" s="13"/>
      <c r="G269" s="58" t="s">
        <v>581</v>
      </c>
      <c r="H269" s="38"/>
      <c r="I269" s="38"/>
      <c r="J269" s="84"/>
      <c r="K269" s="87"/>
      <c r="L269" s="85">
        <f t="shared" si="5"/>
        <v>0</v>
      </c>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48" customHeight="1" x14ac:dyDescent="0.2">
      <c r="A270" s="8" t="s">
        <v>249</v>
      </c>
      <c r="B270" s="3" t="s">
        <v>555</v>
      </c>
      <c r="C270" s="15"/>
      <c r="D270" s="15"/>
      <c r="E270" s="15"/>
      <c r="F270" s="14"/>
      <c r="G270" s="58" t="str">
        <f>IF(C270="","",IF(C270="Yes","Provide a reference to or attach security scan documentation.","Describe why security scan results will not be provided to the Utility."))</f>
        <v/>
      </c>
      <c r="H270" s="38"/>
      <c r="I270" s="38"/>
      <c r="J270" s="84"/>
      <c r="K270" s="87"/>
      <c r="L270" s="85">
        <f t="shared" si="5"/>
        <v>0</v>
      </c>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54" customHeight="1" x14ac:dyDescent="0.2">
      <c r="A271" s="8" t="s">
        <v>250</v>
      </c>
      <c r="B271" s="20" t="s">
        <v>672</v>
      </c>
      <c r="C271" s="15"/>
      <c r="D271" s="15"/>
      <c r="E271" s="15"/>
      <c r="F271" s="14"/>
      <c r="G271" s="58" t="str">
        <f>IF(C271="","",IF(C271="Yes","Provide reference to the process or procedure to setup security testing times and scopes.","Provide a brief summary for your response."))</f>
        <v/>
      </c>
      <c r="H271" s="38"/>
      <c r="I271" s="38"/>
      <c r="J271" s="84"/>
      <c r="K271" s="87"/>
      <c r="L271" s="85">
        <f t="shared" si="5"/>
        <v>0</v>
      </c>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75" customHeight="1" x14ac:dyDescent="0.2">
      <c r="A272" s="8" t="s">
        <v>311</v>
      </c>
      <c r="B272" s="3" t="s">
        <v>81</v>
      </c>
      <c r="C272" s="15"/>
      <c r="D272" s="15"/>
      <c r="E272" s="15"/>
      <c r="F272" s="14"/>
      <c r="G272" s="60" t="str">
        <f>IF(C272="","",IF(C272="Yes","Describe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2" s="38"/>
      <c r="I272" s="38" t="s">
        <v>415</v>
      </c>
      <c r="J272" s="84"/>
      <c r="K272" s="87"/>
      <c r="L272" s="85">
        <f t="shared" si="5"/>
        <v>0</v>
      </c>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45.75" customHeight="1" x14ac:dyDescent="0.2">
      <c r="A273" s="8" t="s">
        <v>321</v>
      </c>
      <c r="B273" s="3" t="s">
        <v>83</v>
      </c>
      <c r="C273" s="15"/>
      <c r="D273" s="15"/>
      <c r="E273" s="15"/>
      <c r="F273" s="14"/>
      <c r="G273" s="60" t="str">
        <f>IF(C273="","",IF(C273="Yes","Describe or provide a reference to/attach your system development life cycle methodology including your environments, version control, and change management (if not already covered in the Change Management section).","Describe any plans to implement a documented SDLC."))</f>
        <v/>
      </c>
      <c r="H273" s="38"/>
      <c r="I273" s="38"/>
      <c r="J273" s="84"/>
      <c r="K273" s="87"/>
      <c r="L273" s="85">
        <f t="shared" si="5"/>
        <v>0</v>
      </c>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54" customHeight="1" x14ac:dyDescent="0.2">
      <c r="A274" s="8" t="s">
        <v>323</v>
      </c>
      <c r="B274" s="3" t="s">
        <v>103</v>
      </c>
      <c r="C274" s="15"/>
      <c r="D274" s="15"/>
      <c r="E274" s="15"/>
      <c r="F274" s="14"/>
      <c r="G274" s="60"/>
      <c r="H274" s="38"/>
      <c r="I274" s="38"/>
      <c r="J274" s="84"/>
      <c r="K274" s="87"/>
      <c r="L274" s="85">
        <f t="shared" si="5"/>
        <v>0</v>
      </c>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57.75" customHeight="1" x14ac:dyDescent="0.2">
      <c r="A275" s="8" t="s">
        <v>324</v>
      </c>
      <c r="B275" s="20" t="s">
        <v>622</v>
      </c>
      <c r="C275" s="15"/>
      <c r="D275" s="15"/>
      <c r="E275" s="15"/>
      <c r="F275" s="13"/>
      <c r="G275" s="56" t="str">
        <f>IF(C275="","",IF(C275="Yes","Please provide information on the pentetration testing (i.e., when was the test conducted, key findings, etc.).","Please detail any current plans to conduct third-party penetration testing."))</f>
        <v/>
      </c>
      <c r="H275" s="38"/>
      <c r="I275" s="38"/>
      <c r="J275" s="84"/>
      <c r="K275" s="87"/>
      <c r="L275" s="85">
        <f t="shared" si="5"/>
        <v>0</v>
      </c>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54" x14ac:dyDescent="0.2">
      <c r="A276" s="120" t="s">
        <v>135</v>
      </c>
      <c r="B276" s="120"/>
      <c r="C276" s="2" t="s">
        <v>574</v>
      </c>
      <c r="D276" s="2" t="s">
        <v>575</v>
      </c>
      <c r="E276" s="2" t="s">
        <v>104</v>
      </c>
      <c r="F276" s="2" t="s">
        <v>17</v>
      </c>
      <c r="G276" s="2" t="s">
        <v>18</v>
      </c>
      <c r="H276" s="2" t="s">
        <v>353</v>
      </c>
      <c r="I276" s="2" t="s">
        <v>380</v>
      </c>
      <c r="J276" s="108" t="s">
        <v>628</v>
      </c>
      <c r="K276" s="109"/>
      <c r="L276" s="83">
        <f>L277</f>
        <v>0</v>
      </c>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row>
    <row r="277" spans="1:176" ht="45.75" customHeight="1" x14ac:dyDescent="0.2">
      <c r="A277" s="8" t="s">
        <v>136</v>
      </c>
      <c r="B277" s="3" t="s">
        <v>138</v>
      </c>
      <c r="C277" s="14"/>
      <c r="D277" s="14"/>
      <c r="E277" s="14"/>
      <c r="F277" s="14"/>
      <c r="G277" s="58"/>
      <c r="H277" s="40"/>
      <c r="I277" s="41"/>
      <c r="J277" s="84"/>
      <c r="K277" s="87"/>
      <c r="L277" s="85">
        <f t="shared" si="5"/>
        <v>0</v>
      </c>
      <c r="FT277"/>
    </row>
  </sheetData>
  <mergeCells count="80">
    <mergeCell ref="C17:I17"/>
    <mergeCell ref="C18:I18"/>
    <mergeCell ref="C19:I19"/>
    <mergeCell ref="A2:B2"/>
    <mergeCell ref="A121:B121"/>
    <mergeCell ref="A42:I42"/>
    <mergeCell ref="C40:I40"/>
    <mergeCell ref="C59:F59"/>
    <mergeCell ref="C48:F48"/>
    <mergeCell ref="C47:F47"/>
    <mergeCell ref="A44:B44"/>
    <mergeCell ref="C46:F46"/>
    <mergeCell ref="C45:E45"/>
    <mergeCell ref="A43:I43"/>
    <mergeCell ref="C115:F115"/>
    <mergeCell ref="A76:B76"/>
    <mergeCell ref="A142:B142"/>
    <mergeCell ref="A1:F1"/>
    <mergeCell ref="A26:G26"/>
    <mergeCell ref="B39:G39"/>
    <mergeCell ref="C23:I23"/>
    <mergeCell ref="C24:I24"/>
    <mergeCell ref="A25:I25"/>
    <mergeCell ref="C2:I2"/>
    <mergeCell ref="A4:I4"/>
    <mergeCell ref="A3:I3"/>
    <mergeCell ref="A5:I5"/>
    <mergeCell ref="C6:I6"/>
    <mergeCell ref="C11:I11"/>
    <mergeCell ref="C12:I12"/>
    <mergeCell ref="A60:B60"/>
    <mergeCell ref="C41:I41"/>
    <mergeCell ref="C77:E77"/>
    <mergeCell ref="C80:F80"/>
    <mergeCell ref="C85:E85"/>
    <mergeCell ref="C86:E86"/>
    <mergeCell ref="C78:E78"/>
    <mergeCell ref="C63:F63"/>
    <mergeCell ref="C74:F74"/>
    <mergeCell ref="A276:B276"/>
    <mergeCell ref="A182:B182"/>
    <mergeCell ref="A208:B208"/>
    <mergeCell ref="A221:B221"/>
    <mergeCell ref="A232:B232"/>
    <mergeCell ref="A259:B259"/>
    <mergeCell ref="A157:B157"/>
    <mergeCell ref="C79:E79"/>
    <mergeCell ref="C71:E71"/>
    <mergeCell ref="C75:F75"/>
    <mergeCell ref="C87:F87"/>
    <mergeCell ref="C88:E88"/>
    <mergeCell ref="C89:E89"/>
    <mergeCell ref="A90:B90"/>
    <mergeCell ref="J5:K5"/>
    <mergeCell ref="J44:K44"/>
    <mergeCell ref="J60:K60"/>
    <mergeCell ref="C61:F61"/>
    <mergeCell ref="C62:F62"/>
    <mergeCell ref="C14:I14"/>
    <mergeCell ref="C7:I7"/>
    <mergeCell ref="C8:I8"/>
    <mergeCell ref="C9:I9"/>
    <mergeCell ref="C10:I10"/>
    <mergeCell ref="C13:I13"/>
    <mergeCell ref="C20:I20"/>
    <mergeCell ref="C21:I21"/>
    <mergeCell ref="C22:I22"/>
    <mergeCell ref="C15:I15"/>
    <mergeCell ref="C16:I16"/>
    <mergeCell ref="J76:K76"/>
    <mergeCell ref="J90:K90"/>
    <mergeCell ref="J121:K121"/>
    <mergeCell ref="J142:K142"/>
    <mergeCell ref="J157:K157"/>
    <mergeCell ref="J276:K276"/>
    <mergeCell ref="J182:K182"/>
    <mergeCell ref="J208:K208"/>
    <mergeCell ref="J221:K221"/>
    <mergeCell ref="J232:K232"/>
    <mergeCell ref="J259:K259"/>
  </mergeCells>
  <phoneticPr fontId="28" type="noConversion"/>
  <conditionalFormatting sqref="L5 L44:L277">
    <cfRule type="cellIs" dxfId="1" priority="13" operator="lessThan">
      <formula>1</formula>
    </cfRule>
  </conditionalFormatting>
  <dataValidations count="1">
    <dataValidation type="list" allowBlank="1" showInputMessage="1" showErrorMessage="1" sqref="J45:K59 J61:K75 J77:K89 J91:K120 J122:K141 J143:K156 J158:K181 J183:K207 J209:K220 J222:K231 J233:K258 J277:K1048576 J260:K275" xr:uid="{8B351DFD-D064-4FE3-A6DD-61DFD5B3071C}">
      <formula1>"1,2,3,4,5"</formula1>
    </dataValidation>
  </dataValidations>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C45:E45 C64:E73 C270:E275 C81:E86 C88:E89 C113:E114 C52:E58 C205:E207 C224:E231 C150:E156 C119:E120 C77:E79 C183:E201 C116:E117 C203:E203 C222:E222 C143:E148 C158:E166 C168:E169 C171:E175 C209:E220 C122:E141 C92:E110 C233:E258 C177:E179 C181:E181 C260:E268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BA76B7D9A9404AB687F5AE70EC3327" ma:contentTypeVersion="5" ma:contentTypeDescription="Create a new document." ma:contentTypeScope="" ma:versionID="f045240be89f3005c10b3463b2c4b84c">
  <xsd:schema xmlns:xsd="http://www.w3.org/2001/XMLSchema" xmlns:xs="http://www.w3.org/2001/XMLSchema" xmlns:p="http://schemas.microsoft.com/office/2006/metadata/properties" xmlns:ns2="6dbdea58-36ce-4410-95f9-7df5ed4dea3b" targetNamespace="http://schemas.microsoft.com/office/2006/metadata/properties" ma:root="true" ma:fieldsID="8eed10617525148466d988a986d66b13"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30AFE-EE77-4D17-BEE5-D03312FE0F78}">
  <ds:schemaRefs>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elements/1.1/"/>
    <ds:schemaRef ds:uri="f4f4e5ff-c7e2-442b-9a2b-f0472db823b5"/>
    <ds:schemaRef ds:uri="http://www.w3.org/XML/1998/namespace"/>
    <ds:schemaRef ds:uri="http://purl.org/dc/dcmitype/"/>
  </ds:schemaRefs>
</ds:datastoreItem>
</file>

<file path=customXml/itemProps2.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3.xml><?xml version="1.0" encoding="utf-8"?>
<ds:datastoreItem xmlns:ds="http://schemas.openxmlformats.org/officeDocument/2006/customXml" ds:itemID="{8B00F822-2BD9-4C3A-A46F-023E0B8C9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dea58-36ce-4410-95f9-7df5ed4dea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2023-06-29T13:59:57Z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0x010100D7BA76B7D9A9404AB687F5AE70EC3327</vt:lpwstr>
  </property>
</Properties>
</file>