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CB735CA1-9EF9-4A5F-B211-0DEFE7E70877}" xr6:coauthVersionLast="47" xr6:coauthVersionMax="47" xr10:uidLastSave="{00000000-0000-0000-0000-000000000000}"/>
  <bookViews>
    <workbookView xWindow="-120" yWindow="-120" windowWidth="29040" windowHeight="15840"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Questions!$A$1:$FQ$280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3" i="1" l="1"/>
  <c r="G278" i="1"/>
  <c r="G150" i="1"/>
  <c r="G138" i="1"/>
  <c r="G136" i="1"/>
  <c r="G209" i="1"/>
  <c r="G159" i="1" l="1"/>
  <c r="G78" i="1" l="1"/>
  <c r="G77" i="1" l="1"/>
  <c r="G251" i="1" l="1"/>
  <c r="G228" i="1"/>
  <c r="G135" i="1"/>
  <c r="G120" i="1"/>
  <c r="G98" i="1"/>
  <c r="G97" i="1"/>
  <c r="G261" i="1"/>
  <c r="G189" i="1"/>
  <c r="G130" i="1"/>
  <c r="G94" i="1"/>
  <c r="G72" i="1"/>
  <c r="G71" i="1"/>
  <c r="G68" i="1"/>
  <c r="G67" i="1"/>
  <c r="G66" i="1"/>
  <c r="G65" i="1"/>
  <c r="G64" i="1"/>
  <c r="G57" i="1"/>
  <c r="G52" i="1"/>
  <c r="G114" i="1" l="1"/>
  <c r="G137" i="1" l="1"/>
  <c r="G134" i="1"/>
  <c r="G126" i="1"/>
  <c r="G122" i="1"/>
  <c r="G276" i="1" l="1"/>
  <c r="G275" i="1"/>
  <c r="G274" i="1"/>
  <c r="G273" i="1"/>
  <c r="G271" i="1"/>
  <c r="G270" i="1"/>
  <c r="G269" i="1"/>
  <c r="G266" i="1"/>
  <c r="G264" i="1"/>
  <c r="G262" i="1"/>
  <c r="G259" i="1"/>
  <c r="G258" i="1"/>
  <c r="G257" i="1"/>
  <c r="G256" i="1"/>
  <c r="G255" i="1"/>
  <c r="G254" i="1"/>
  <c r="G253" i="1"/>
  <c r="G250" i="1"/>
  <c r="G249" i="1"/>
  <c r="G248" i="1"/>
  <c r="G247" i="1"/>
  <c r="G245" i="1"/>
  <c r="G241" i="1"/>
  <c r="G236" i="1"/>
  <c r="G235" i="1"/>
  <c r="G234" i="1"/>
  <c r="G233" i="1"/>
  <c r="G231" i="1"/>
  <c r="G230" i="1"/>
  <c r="G229" i="1"/>
  <c r="G227" i="1"/>
  <c r="G226" i="1"/>
  <c r="G225" i="1"/>
  <c r="G224" i="1"/>
  <c r="G219" i="1"/>
  <c r="G213" i="1"/>
  <c r="G205" i="1"/>
  <c r="G203" i="1"/>
  <c r="G201" i="1"/>
  <c r="G199" i="1"/>
  <c r="G198" i="1"/>
  <c r="G197" i="1"/>
  <c r="G195" i="1"/>
  <c r="G194" i="1"/>
  <c r="G193" i="1"/>
  <c r="G192" i="1"/>
  <c r="G190" i="1"/>
  <c r="G186" i="1"/>
  <c r="G185" i="1"/>
  <c r="G183" i="1"/>
  <c r="G173" i="1"/>
  <c r="G171" i="1"/>
  <c r="G169" i="1"/>
  <c r="G168" i="1"/>
  <c r="G166" i="1"/>
  <c r="G165" i="1"/>
  <c r="G164" i="1"/>
  <c r="G162" i="1"/>
  <c r="G160" i="1"/>
  <c r="G158" i="1"/>
  <c r="G156" i="1"/>
  <c r="G155" i="1"/>
  <c r="G154" i="1"/>
  <c r="G153" i="1"/>
  <c r="G152" i="1"/>
  <c r="G151" i="1"/>
  <c r="G148" i="1"/>
  <c r="G147" i="1"/>
  <c r="G144" i="1"/>
  <c r="G143" i="1"/>
  <c r="G140" i="1"/>
  <c r="G139" i="1"/>
  <c r="G133" i="1"/>
  <c r="G128" i="1"/>
  <c r="G127" i="1"/>
  <c r="G125" i="1"/>
  <c r="G124" i="1"/>
  <c r="G123" i="1"/>
  <c r="G119" i="1"/>
  <c r="G117" i="1"/>
  <c r="G116" i="1"/>
  <c r="G113" i="1"/>
  <c r="G110" i="1"/>
  <c r="G109" i="1"/>
  <c r="G108" i="1"/>
  <c r="G107" i="1"/>
  <c r="G106" i="1"/>
  <c r="G105" i="1"/>
  <c r="G104" i="1"/>
  <c r="G103" i="1"/>
  <c r="G102" i="1"/>
  <c r="G101" i="1"/>
  <c r="G99" i="1"/>
  <c r="G93" i="1"/>
  <c r="G92" i="1"/>
  <c r="G89" i="1"/>
  <c r="G88" i="1"/>
  <c r="G85" i="1"/>
  <c r="G70" i="1"/>
  <c r="G58" i="1"/>
  <c r="G53" i="1"/>
</calcChain>
</file>

<file path=xl/sharedStrings.xml><?xml version="1.0" encoding="utf-8"?>
<sst xmlns="http://schemas.openxmlformats.org/spreadsheetml/2006/main" count="776" uniqueCount="673">
  <si>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</si>
  <si>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</si>
  <si>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</si>
  <si>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</si>
  <si>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</si>
  <si>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</si>
  <si>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</si>
  <si>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</si>
  <si>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</si>
  <si>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</si>
  <si>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</si>
  <si>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</si>
  <si>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</si>
  <si>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</si>
  <si>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</si>
  <si>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</si>
  <si>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</si>
  <si>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</si>
  <si>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</si>
  <si>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</si>
  <si>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</si>
  <si>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</si>
  <si>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</si>
  <si>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</si>
  <si>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</si>
  <si>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</si>
  <si>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</si>
  <si>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</si>
  <si>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</si>
  <si>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</si>
  <si>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</si>
  <si>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</si>
  <si>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</si>
  <si>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</si>
  <si>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</si>
  <si>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</si>
  <si>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</si>
  <si>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</si>
  <si>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</si>
  <si>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</si>
  <si>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</si>
  <si>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</si>
  <si>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</si>
  <si>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</si>
  <si>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</si>
  <si>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</si>
  <si>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</si>
  <si>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</si>
  <si>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</si>
  <si>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</si>
  <si>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</si>
  <si>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</si>
  <si>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</si>
  <si>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</si>
  <si>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</si>
  <si>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</si>
  <si>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</si>
  <si>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</si>
  <si>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</si>
  <si>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</si>
  <si>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</si>
  <si>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</si>
  <si>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</si>
  <si>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</si>
  <si>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</si>
  <si>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</si>
  <si>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</si>
  <si>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</si>
  <si>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</si>
  <si>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</si>
  <si>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</si>
  <si>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</si>
  <si>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</si>
  <si>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</si>
  <si>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</si>
  <si>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</si>
  <si>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</si>
  <si>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</si>
  <si>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</si>
  <si>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</si>
  <si>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</si>
  <si>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</si>
  <si>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</si>
  <si>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</si>
  <si>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</si>
  <si>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</si>
  <si>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</si>
  <si>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</si>
  <si>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</si>
  <si>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</si>
  <si>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</si>
  <si>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</si>
  <si>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</si>
  <si>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</si>
  <si>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</si>
  <si>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</si>
  <si>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</si>
  <si>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</si>
  <si>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</si>
  <si>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</si>
  <si>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</si>
  <si>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</si>
  <si>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</si>
  <si>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</si>
  <si>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</si>
  <si>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</si>
  <si>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</si>
  <si>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</si>
  <si>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</si>
  <si>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</si>
  <si>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</si>
  <si>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</si>
  <si>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</si>
  <si>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</si>
  <si>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</si>
  <si>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</si>
  <si>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</si>
  <si>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</si>
  <si>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</si>
  <si>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</si>
  <si>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</si>
  <si>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</si>
  <si>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</si>
  <si>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</si>
  <si>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</si>
  <si>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</si>
  <si>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</si>
  <si>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</si>
  <si>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</si>
  <si>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</si>
  <si>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</si>
  <si>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</si>
  <si>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</si>
  <si>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</si>
  <si>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</si>
  <si>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</si>
  <si>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</si>
  <si>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</si>
  <si>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</si>
  <si>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</si>
  <si>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</si>
  <si>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</si>
  <si>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</si>
  <si>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</si>
  <si>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</si>
  <si>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</si>
  <si>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</si>
  <si>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</si>
  <si>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</si>
  <si>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</si>
  <si>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</si>
  <si>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</si>
  <si>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</si>
  <si>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</si>
  <si>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</si>
  <si>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</si>
  <si>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</si>
  <si>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</si>
  <si>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</si>
  <si>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</si>
  <si>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</si>
  <si>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</si>
  <si>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</si>
  <si>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</si>
  <si>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</si>
  <si>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</si>
  <si>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</si>
  <si>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</si>
  <si>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</si>
  <si>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</si>
  <si>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</si>
  <si>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</si>
  <si>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</si>
  <si>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</si>
  <si>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</si>
  <si>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</si>
  <si>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</si>
  <si>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</si>
  <si>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</si>
  <si>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</si>
  <si>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</si>
  <si>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</si>
  <si>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</si>
  <si>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</si>
  <si>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</si>
  <si>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</si>
  <si>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</si>
  <si>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</si>
  <si>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</si>
  <si>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</si>
  <si>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</si>
  <si>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</si>
  <si>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</si>
  <si>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</si>
  <si>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</si>
  <si>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</si>
  <si>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</si>
  <si>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</si>
  <si>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</si>
  <si>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</si>
  <si>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</si>
  <si>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</si>
  <si>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</si>
  <si>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</si>
  <si>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</si>
  <si>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</si>
  <si>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</si>
  <si>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</si>
  <si>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</si>
  <si>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</si>
  <si>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</si>
  <si>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</si>
  <si>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</si>
  <si>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</si>
  <si>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</si>
  <si>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</si>
  <si>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</si>
  <si>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</si>
  <si>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</si>
  <si>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</si>
  <si>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</si>
  <si>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</si>
  <si>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</si>
  <si>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</si>
  <si>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</si>
  <si>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</si>
  <si>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</si>
  <si>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</si>
  <si>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</si>
  <si>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</si>
  <si>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</si>
  <si>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</si>
  <si>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</si>
  <si>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</si>
  <si>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</si>
  <si>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</si>
  <si>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</si>
  <si>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</si>
  <si>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</si>
  <si>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</si>
  <si>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</si>
  <si>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</si>
  <si>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</si>
  <si>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</si>
  <si>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</si>
  <si>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</si>
  <si>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</si>
  <si>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</si>
  <si>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</si>
  <si>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</si>
  <si>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</si>
  <si>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</si>
  <si>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</si>
  <si>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</si>
  <si>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</si>
  <si>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</si>
  <si>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</si>
  <si>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</si>
  <si>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</si>
  <si>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</si>
  <si>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</si>
  <si>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</si>
  <si>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</si>
  <si>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</si>
  <si>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</si>
  <si>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</si>
  <si>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</si>
  <si>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</si>
  <si>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</si>
  <si>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</si>
  <si>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</si>
  <si>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</si>
  <si>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</si>
  <si>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</si>
  <si>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</si>
  <si>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</si>
  <si>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</si>
  <si>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</si>
  <si>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</si>
  <si>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</si>
  <si>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</si>
  <si>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</si>
  <si>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</si>
  <si>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</si>
  <si>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</si>
  <si>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</si>
  <si>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</si>
  <si>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</si>
  <si>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</si>
  <si>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</si>
  <si>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</si>
  <si>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</si>
  <si>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</si>
  <si>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</si>
  <si>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</si>
  <si>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</si>
  <si>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</si>
  <si>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</si>
  <si>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</si>
  <si>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</si>
  <si>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</si>
  <si>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</si>
  <si>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</si>
  <si>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</si>
  <si>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</si>
  <si>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</si>
  <si>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</si>
  <si>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</si>
  <si>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</si>
  <si>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</si>
  <si>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</si>
  <si>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</si>
  <si>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</si>
  <si>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</si>
  <si>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</si>
  <si>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</si>
  <si>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</si>
  <si>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</si>
  <si>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</si>
  <si>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</si>
  <si>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</si>
  <si>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</si>
  <si>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</si>
  <si>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</si>
  <si>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</si>
  <si>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</si>
  <si>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</si>
  <si>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</si>
  <si>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</si>
  <si>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</si>
  <si>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</si>
  <si>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</si>
  <si>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</si>
  <si>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</si>
  <si>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</si>
  <si>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</si>
  <si>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</si>
  <si>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</si>
  <si>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</si>
  <si>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</si>
  <si>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</si>
  <si>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</si>
  <si>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</si>
  <si>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</si>
  <si>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</si>
  <si>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</si>
  <si>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</si>
  <si>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</si>
  <si>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</si>
  <si>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</si>
  <si>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</si>
  <si>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</si>
  <si>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</si>
  <si>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</si>
  <si>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</si>
  <si>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</si>
  <si>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</si>
  <si>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</si>
  <si>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</si>
  <si>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</si>
  <si>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</si>
  <si>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</si>
  <si>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</si>
  <si>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</si>
  <si>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</si>
  <si>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</si>
  <si>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</si>
  <si>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</si>
  <si>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</si>
  <si>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</si>
  <si>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</si>
  <si>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</si>
  <si>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</si>
  <si>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</si>
  <si>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</si>
  <si>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</si>
  <si>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</si>
  <si>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</si>
  <si>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</si>
  <si>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</si>
  <si>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</si>
  <si>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</si>
  <si>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</si>
  <si>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</si>
  <si>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</si>
  <si>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</si>
  <si>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</si>
  <si>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</si>
  <si>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</si>
  <si>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</si>
  <si>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</si>
  <si>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Number of Contractors In Countries Other than the Untied States or Canada</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</si>
  <si>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</si>
  <si>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</si>
  <si>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</si>
  <si>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</si>
  <si>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</si>
  <si>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</si>
  <si>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</si>
  <si>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</si>
  <si>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</si>
  <si>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</si>
  <si>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</si>
  <si>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</si>
  <si>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</si>
  <si>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</si>
  <si>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</si>
  <si>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</si>
  <si>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</si>
  <si>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Do you have cyber security risk insurance?
If yes, please provide coverage amounts.</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</si>
  <si>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</si>
  <si>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</si>
  <si>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</si>
  <si>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</si>
  <si>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</si>
  <si>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</si>
  <si>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</si>
  <si>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</si>
  <si>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</si>
  <si>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</si>
  <si>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</si>
  <si>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</si>
  <si>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</si>
  <si>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</si>
  <si>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</si>
  <si>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</si>
  <si>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</si>
  <si>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</si>
  <si>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</si>
  <si>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</si>
  <si>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</si>
  <si>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</si>
  <si>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</si>
  <si>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</si>
  <si>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</si>
  <si>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</si>
  <si>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</si>
  <si>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</si>
  <si>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</si>
  <si>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</si>
  <si>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</si>
  <si>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</si>
  <si>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</si>
  <si>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</si>
  <si>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</si>
  <si>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</si>
  <si>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</si>
  <si>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</si>
  <si>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</si>
  <si>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</si>
  <si>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</si>
  <si>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</si>
  <si>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</si>
  <si>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</si>
  <si>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</si>
  <si>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</si>
  <si>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</si>
  <si>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</si>
  <si>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</si>
  <si>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</si>
  <si>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</si>
  <si>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</si>
  <si>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</si>
  <si>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</si>
  <si>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</si>
  <si>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</si>
  <si>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</si>
  <si>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</si>
  <si>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</si>
  <si>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</si>
  <si>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</si>
  <si>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</si>
  <si>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</si>
  <si>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</si>
  <si>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</si>
  <si>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</si>
  <si>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</si>
  <si>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</si>
  <si>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</si>
  <si>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</si>
  <si>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</si>
  <si>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</si>
  <si>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</si>
  <si>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</si>
  <si>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</si>
  <si>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</si>
  <si>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Have you taken appropriate action in response to assessment(s) of your cyber incident response plan/process?</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</si>
  <si>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</si>
  <si>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</si>
  <si>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</si>
  <si>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</si>
  <si>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</si>
  <si>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</si>
  <si>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</si>
  <si>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</si>
  <si>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</si>
  <si>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</si>
  <si>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</si>
  <si>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</si>
  <si>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</si>
  <si>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</si>
  <si>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</si>
  <si>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</si>
  <si>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</si>
  <si>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</si>
  <si>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</si>
  <si>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</si>
  <si>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</si>
  <si>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</si>
  <si>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</si>
  <si>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</si>
  <si>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</si>
  <si>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</si>
  <si>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</si>
  <si>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</si>
  <si>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</si>
  <si>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</si>
  <si>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</si>
  <si>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</si>
  <si>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</si>
  <si>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</si>
  <si>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</si>
  <si>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</si>
  <si>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</si>
  <si>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</si>
  <si>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</si>
  <si>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</si>
  <si>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</si>
  <si>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</si>
  <si>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</si>
  <si>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</si>
  <si>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</si>
  <si>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</si>
  <si>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</si>
  <si>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</si>
  <si>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</si>
  <si>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</si>
  <si>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</si>
  <si>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</si>
  <si>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</si>
  <si>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</si>
  <si>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</si>
  <si>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</si>
  <si>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</si>
  <si>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</si>
  <si>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</si>
  <si>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</si>
  <si>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</si>
  <si>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</si>
  <si>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</si>
  <si>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</si>
  <si>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</si>
  <si>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</si>
  <si>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</si>
  <si>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</si>
  <si>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</si>
  <si>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</si>
  <si>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</si>
  <si>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</si>
  <si>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</si>
  <si>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</si>
  <si>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</si>
  <si>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</si>
  <si>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</si>
  <si>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</si>
  <si>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</si>
  <si>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</si>
  <si>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</si>
  <si>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</si>
  <si>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</si>
  <si>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</si>
  <si>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</si>
  <si>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</si>
  <si>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</si>
  <si>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</si>
  <si>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</si>
  <si>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</si>
  <si>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</si>
  <si>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</si>
  <si>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</si>
  <si>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</si>
  <si>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</si>
  <si>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</si>
  <si>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Can a copy of your most recent application code review or penetration testing reports (carried out by independent third party) be given to utility clients?</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</si>
  <si>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</si>
  <si>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</si>
  <si>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</si>
  <si>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</si>
  <si>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</si>
  <si>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</si>
  <si>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</si>
  <si>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</si>
  <si>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</si>
  <si>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</si>
  <si>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</si>
  <si>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</si>
  <si>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</si>
  <si>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</si>
  <si>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</si>
  <si>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</si>
  <si>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</si>
  <si>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</si>
  <si>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</si>
  <si>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</si>
  <si>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</si>
  <si>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</si>
  <si>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</si>
  <si>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</si>
  <si>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</si>
  <si>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</si>
  <si>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</si>
  <si>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</si>
  <si>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</si>
  <si>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</si>
  <si>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</si>
  <si>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</si>
  <si>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</si>
  <si>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</si>
  <si>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</si>
  <si>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</si>
  <si>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</si>
  <si>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Document ID:  1394</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</si>
  <si>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</si>
  <si>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</si>
  <si>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</si>
  <si>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</si>
  <si>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</si>
  <si>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</si>
  <si>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Corrected various typos.
Added content to General Information section.
Added definition reference for CEII
Added check box and option for BCSI data
Added additional content and conditional formatting to Guidance section.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t>
  </si>
  <si>
    <t>DATA-26</t>
  </si>
  <si>
    <t>Are controls in place to ensure that your systems and/or processes prohibit/limit the use of removable media?</t>
  </si>
  <si>
    <t xml:space="preserve">
Supports (44, 45)</t>
  </si>
  <si>
    <t>CSPM-20</t>
  </si>
  <si>
    <r>
      <t xml:space="preserve">Is security awareness and privacy training mandatory for all employees </t>
    </r>
    <r>
      <rPr>
        <sz val="11"/>
        <color rgb="FFFF0000"/>
        <rFont val="Verdana"/>
        <family val="2"/>
      </rPr>
      <t>at least annually</t>
    </r>
    <r>
      <rPr>
        <sz val="11"/>
        <rFont val="Verdana"/>
        <family val="2"/>
      </rPr>
      <t>?</t>
    </r>
  </si>
  <si>
    <r>
      <t xml:space="preserve">Do you maintain a list of all individuals with access to your assets, systems, networks, information, and/or facilities </t>
    </r>
    <r>
      <rPr>
        <sz val="11"/>
        <color rgb="FFFF0000"/>
        <rFont val="Verdana"/>
        <family val="2"/>
      </rPr>
      <t>including an access log of each sign in/out</t>
    </r>
    <r>
      <rPr>
        <sz val="11"/>
        <rFont val="Verdana"/>
        <family val="2"/>
      </rPr>
      <t>?</t>
    </r>
  </si>
  <si>
    <r>
      <rPr>
        <strike/>
        <sz val="11"/>
        <color rgb="FFFF0000"/>
        <rFont val="Verdana"/>
        <family val="2"/>
      </rPr>
      <t>Customer</t>
    </r>
    <r>
      <rPr>
        <sz val="11"/>
        <color rgb="FFFF0000"/>
        <rFont val="Verdana"/>
        <family val="2"/>
      </rPr>
      <t>Purchaser</t>
    </r>
    <r>
      <rPr>
        <sz val="11"/>
        <color indexed="8"/>
        <rFont val="Verdana"/>
        <family val="2"/>
      </rPr>
      <t xml:space="preserve"> Account Information</t>
    </r>
  </si>
  <si>
    <r>
      <t xml:space="preserve">Have your systems undergone </t>
    </r>
    <r>
      <rPr>
        <strike/>
        <sz val="11"/>
        <color rgb="FFFF0000"/>
        <rFont val="Verdana"/>
        <family val="2"/>
      </rPr>
      <t>third-party</t>
    </r>
    <r>
      <rPr>
        <sz val="11"/>
        <color theme="1"/>
        <rFont val="Verdana"/>
        <family val="2"/>
      </rPr>
      <t xml:space="preserve"> penetration testing </t>
    </r>
    <r>
      <rPr>
        <sz val="11"/>
        <color rgb="FFFF0000"/>
        <rFont val="Verdana"/>
        <family val="2"/>
      </rPr>
      <t>(internal or by third party)</t>
    </r>
    <r>
      <rPr>
        <sz val="11"/>
        <color theme="1"/>
        <rFont val="Verdana"/>
        <family val="2"/>
      </rPr>
      <t>?</t>
    </r>
  </si>
  <si>
    <r>
      <t xml:space="preserve">Do you have a process by which you will notify </t>
    </r>
    <r>
      <rPr>
        <strike/>
        <sz val="11"/>
        <color rgb="FFFF0000"/>
        <rFont val="Verdana"/>
        <family val="2"/>
      </rPr>
      <t>your customers</t>
    </r>
    <r>
      <rPr>
        <sz val="11"/>
        <color rgb="FFFF0000"/>
        <rFont val="Verdana"/>
        <family val="2"/>
      </rPr>
      <t>purchaser</t>
    </r>
    <r>
      <rPr>
        <sz val="11"/>
        <rFont val="Verdana"/>
        <family val="2"/>
      </rPr>
      <t xml:space="preserve"> when production and/or operation of products and/or services changes to another supplier or location?</t>
    </r>
  </si>
  <si>
    <r>
      <t xml:space="preserve">Is media used for long-term retention of </t>
    </r>
    <r>
      <rPr>
        <strike/>
        <sz val="11"/>
        <color rgb="FFFF0000"/>
        <rFont val="Verdana"/>
        <family val="2"/>
      </rPr>
      <t>customer</t>
    </r>
    <r>
      <rPr>
        <sz val="11"/>
        <color rgb="FFFF0000"/>
        <rFont val="Verdana"/>
        <family val="2"/>
      </rPr>
      <t>purchaser</t>
    </r>
    <r>
      <rPr>
        <sz val="11"/>
        <rFont val="Verdana"/>
        <family val="2"/>
      </rPr>
      <t>'s business data and archival purposes stored in a secure, environmentally protected area?</t>
    </r>
  </si>
  <si>
    <r>
      <t xml:space="preserve">Does your information protection program prohibit access to </t>
    </r>
    <r>
      <rPr>
        <strike/>
        <sz val="11"/>
        <color rgb="FFFF0000"/>
        <rFont val="Verdana"/>
        <family val="2"/>
      </rPr>
      <t>customer</t>
    </r>
    <r>
      <rPr>
        <sz val="11"/>
        <color rgb="FFFF0000"/>
        <rFont val="Verdana"/>
        <family val="2"/>
      </rPr>
      <t>purchaser's</t>
    </r>
    <r>
      <rPr>
        <sz val="11"/>
        <rFont val="Verdana"/>
        <family val="2"/>
      </rPr>
      <t xml:space="preserve"> data without authorization?</t>
    </r>
  </si>
  <si>
    <r>
      <t xml:space="preserve">Does your company have a cyber incident response plan/process, including when notification would be provided to </t>
    </r>
    <r>
      <rPr>
        <strike/>
        <sz val="11"/>
        <color rgb="FFFF0000"/>
        <rFont val="Verdana"/>
        <family val="2"/>
      </rPr>
      <t>customers</t>
    </r>
    <r>
      <rPr>
        <sz val="11"/>
        <color rgb="FFFF0000"/>
        <rFont val="Verdana"/>
        <family val="2"/>
      </rPr>
      <t>purchaser</t>
    </r>
    <r>
      <rPr>
        <sz val="11"/>
        <color theme="1"/>
        <rFont val="Verdana"/>
        <family val="2"/>
      </rPr>
      <t>?</t>
    </r>
  </si>
  <si>
    <r>
      <t xml:space="preserve">Does your cyber incident response plan contain a requirement to notify </t>
    </r>
    <r>
      <rPr>
        <strike/>
        <sz val="11"/>
        <color rgb="FFFF0000"/>
        <rFont val="Verdana"/>
        <family val="2"/>
      </rPr>
      <t>customers that purchased</t>
    </r>
    <r>
      <rPr>
        <sz val="11"/>
        <color theme="1"/>
        <rFont val="Verdana"/>
        <family val="2"/>
      </rPr>
      <t xml:space="preserve"> </t>
    </r>
    <r>
      <rPr>
        <sz val="11"/>
        <color rgb="FFFF0000"/>
        <rFont val="Verdana"/>
        <family val="2"/>
      </rPr>
      <t>purchasers of</t>
    </r>
    <r>
      <rPr>
        <sz val="11"/>
        <color theme="1"/>
        <rFont val="Verdana"/>
        <family val="2"/>
      </rPr>
      <t xml:space="preserve"> the impacted products or services within 24 hours of initiation of your plan?</t>
    </r>
  </si>
  <si>
    <r>
      <t xml:space="preserve">Do you have a process to notify </t>
    </r>
    <r>
      <rPr>
        <strike/>
        <sz val="11"/>
        <color rgb="FFFF0000"/>
        <rFont val="Verdana"/>
        <family val="2"/>
      </rPr>
      <t>customers</t>
    </r>
    <r>
      <rPr>
        <sz val="11"/>
        <color rgb="FFFF0000"/>
        <rFont val="Verdana"/>
        <family val="2"/>
      </rPr>
      <t>purchasers</t>
    </r>
    <r>
      <rPr>
        <sz val="11"/>
        <color theme="1"/>
        <rFont val="Verdana"/>
        <family val="2"/>
      </rPr>
      <t xml:space="preserve"> of any supplier-identified cyber or physical security incidents related to your products or services that could pose risk to the utility?</t>
    </r>
  </si>
  <si>
    <r>
      <t xml:space="preserve">Do you have a process through which you recommend actions to be taken by you and/or </t>
    </r>
    <r>
      <rPr>
        <strike/>
        <sz val="11"/>
        <color rgb="FFFF0000"/>
        <rFont val="Verdana"/>
        <family val="2"/>
      </rPr>
      <t>your customer</t>
    </r>
    <r>
      <rPr>
        <sz val="11"/>
        <color rgb="FFFF0000"/>
        <rFont val="Verdana"/>
        <family val="2"/>
      </rPr>
      <t>purchaser</t>
    </r>
    <r>
      <rPr>
        <sz val="11"/>
        <rFont val="Verdana"/>
        <family val="2"/>
      </rPr>
      <t xml:space="preserve"> on a </t>
    </r>
    <r>
      <rPr>
        <strike/>
        <sz val="11"/>
        <color rgb="FFFF0000"/>
        <rFont val="Verdana"/>
        <family val="2"/>
      </rPr>
      <t>customer</t>
    </r>
    <r>
      <rPr>
        <sz val="11"/>
        <color rgb="FFFF0000"/>
        <rFont val="Verdana"/>
        <family val="2"/>
      </rPr>
      <t>purchaser</t>
    </r>
    <r>
      <rPr>
        <sz val="11"/>
        <rFont val="Verdana"/>
        <family val="2"/>
      </rPr>
      <t>-controlled system to reduce the risk of recurrence of the same or similar security incident, including, as appropriate, the provision of action plans and mitigating controls?</t>
    </r>
  </si>
  <si>
    <r>
      <t xml:space="preserve">Does your cyber security incident response plan contain clear roles and responsibilities that include coordination of responses to your </t>
    </r>
    <r>
      <rPr>
        <strike/>
        <sz val="11"/>
        <color rgb="FFFF0000"/>
        <rFont val="Verdana"/>
        <family val="2"/>
      </rPr>
      <t>customer</t>
    </r>
    <r>
      <rPr>
        <sz val="11"/>
        <color rgb="FFFF0000"/>
        <rFont val="Verdana"/>
        <family val="2"/>
      </rPr>
      <t>purchaser</t>
    </r>
    <r>
      <rPr>
        <sz val="11"/>
        <rFont val="Verdana"/>
        <family val="2"/>
      </rPr>
      <t>(s)?</t>
    </r>
  </si>
  <si>
    <r>
      <t xml:space="preserve">Do you have a means by which </t>
    </r>
    <r>
      <rPr>
        <strike/>
        <sz val="11"/>
        <color rgb="FFFF0000"/>
        <rFont val="Verdana"/>
        <family val="2"/>
      </rPr>
      <t>your customer</t>
    </r>
    <r>
      <rPr>
        <sz val="11"/>
        <color rgb="FFFF0000"/>
        <rFont val="Verdana"/>
        <family val="2"/>
      </rPr>
      <t>purchaser</t>
    </r>
    <r>
      <rPr>
        <sz val="11"/>
        <rFont val="Verdana"/>
        <family val="2"/>
      </rPr>
      <t xml:space="preserve"> can verify the source of software, firmware, patch, and data downloads is authentic?</t>
    </r>
  </si>
  <si>
    <r>
      <t xml:space="preserve">Do you have a process or program through which you notify </t>
    </r>
    <r>
      <rPr>
        <strike/>
        <sz val="11"/>
        <color rgb="FFFF0000"/>
        <rFont val="Verdana"/>
        <family val="2"/>
      </rPr>
      <t>your customers</t>
    </r>
    <r>
      <rPr>
        <sz val="11"/>
        <color rgb="FFFF0000"/>
        <rFont val="Verdana"/>
        <family val="2"/>
      </rPr>
      <t>purchasers</t>
    </r>
    <r>
      <rPr>
        <sz val="11"/>
        <rFont val="Verdana"/>
        <family val="2"/>
      </rPr>
      <t xml:space="preserve">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r>
  </si>
  <si>
    <r>
      <t xml:space="preserve">Do you agree to remediate any security risks identified by </t>
    </r>
    <r>
      <rPr>
        <strike/>
        <sz val="11"/>
        <color rgb="FFFF0000"/>
        <rFont val="Verdana"/>
        <family val="2"/>
      </rPr>
      <t>your customer</t>
    </r>
    <r>
      <rPr>
        <sz val="11"/>
        <color rgb="FFFF0000"/>
        <rFont val="Verdana"/>
        <family val="2"/>
      </rPr>
      <t>purchaser</t>
    </r>
    <r>
      <rPr>
        <sz val="11"/>
        <rFont val="Verdana"/>
        <family val="2"/>
      </rPr>
      <t>, their representative, or any industry-recognized vulnerability research or assessment organization within a pre-negotiated timeframe?</t>
    </r>
  </si>
  <si>
    <r>
      <t xml:space="preserve">Do you have secure system hardening guidelines and procedures for products developed or provided by you to </t>
    </r>
    <r>
      <rPr>
        <strike/>
        <sz val="11"/>
        <color rgb="FFFF0000"/>
        <rFont val="Verdana"/>
        <family val="2"/>
      </rPr>
      <t>your customer</t>
    </r>
    <r>
      <rPr>
        <sz val="11"/>
        <color rgb="FFFF0000"/>
        <rFont val="Verdana"/>
        <family val="2"/>
      </rPr>
      <t>purchaser</t>
    </r>
    <r>
      <rPr>
        <sz val="11"/>
        <rFont val="Verdana"/>
        <family val="2"/>
      </rPr>
      <t>?</t>
    </r>
  </si>
  <si>
    <t>Identify Types of Information Provided by Utility; populated by the Supplier</t>
  </si>
  <si>
    <r>
      <t xml:space="preserve">Do you require </t>
    </r>
    <r>
      <rPr>
        <strike/>
        <sz val="11"/>
        <color rgb="FFFF0000"/>
        <rFont val="Verdana"/>
        <family val="2"/>
      </rPr>
      <t>new</t>
    </r>
    <r>
      <rPr>
        <sz val="11"/>
        <rFont val="Verdana"/>
        <family val="2"/>
      </rPr>
      <t xml:space="preserve"> employees to </t>
    </r>
    <r>
      <rPr>
        <sz val="11"/>
        <color rgb="FFFF0000"/>
        <rFont val="Verdana"/>
        <family val="2"/>
      </rPr>
      <t>have a completed</t>
    </r>
    <r>
      <rPr>
        <strike/>
        <sz val="11"/>
        <color rgb="FFFF0000"/>
        <rFont val="Verdana"/>
        <family val="2"/>
      </rPr>
      <t>fill out</t>
    </r>
    <r>
      <rPr>
        <sz val="11"/>
        <rFont val="Verdana"/>
        <family val="2"/>
      </rPr>
      <t xml:space="preserve"> agreement</t>
    </r>
    <r>
      <rPr>
        <strike/>
        <sz val="11"/>
        <color rgb="FFFF0000"/>
        <rFont val="Verdana"/>
        <family val="2"/>
      </rPr>
      <t>s</t>
    </r>
    <r>
      <rPr>
        <sz val="11"/>
        <rFont val="Verdana"/>
        <family val="2"/>
      </rPr>
      <t xml:space="preserve"> and</t>
    </r>
    <r>
      <rPr>
        <sz val="11"/>
        <color rgb="FFFF0000"/>
        <rFont val="Verdana"/>
        <family val="2"/>
      </rPr>
      <t xml:space="preserve"> </t>
    </r>
    <r>
      <rPr>
        <sz val="11"/>
        <rFont val="Verdana"/>
        <family val="2"/>
      </rPr>
      <t xml:space="preserve">review information security policies </t>
    </r>
    <r>
      <rPr>
        <sz val="11"/>
        <color rgb="FFFF0000"/>
        <rFont val="Verdana"/>
        <family val="2"/>
      </rPr>
      <t>including, but not limited to, an Acceptable Use policy or equivalent</t>
    </r>
    <r>
      <rPr>
        <sz val="11"/>
        <rFont val="Verdana"/>
        <family val="2"/>
      </rPr>
      <t xml:space="preserve">?  </t>
    </r>
  </si>
  <si>
    <t xml:space="preserve">Have you implemented security controls for the use of devices that access entity's utility's system (e.g., mobile, laptop, non-company devices)? </t>
  </si>
  <si>
    <t>Copyright © 2022 North American Transmission Forum (“NATF”).  All rights reserved.</t>
  </si>
  <si>
    <r>
      <t>26</t>
    </r>
    <r>
      <rPr>
        <strike/>
        <sz val="11"/>
        <color rgb="FFFF0000"/>
        <rFont val="Verdana"/>
        <family val="2"/>
      </rPr>
      <t>, 31</t>
    </r>
  </si>
  <si>
    <t>Do you maintain an asset management program that requires an inventory of IT and OT hardware, software, information assets (e.g., databases)?</t>
  </si>
  <si>
    <t>Open Distribution for Supply Chain Materials</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</si>
  <si>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</si>
  <si>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r>
      <rPr>
        <b/>
        <sz val="12"/>
        <color rgb="FFFF0000"/>
        <rFont val="Verdana"/>
        <family val="2"/>
      </rPr>
      <t>This questionnaire is intended for use by suppliers participating in a third-party security assessment and should be completed by the appropriate supplier's subject matter experts (e.g., cyber security, IT).</t>
    </r>
    <r>
      <rPr>
        <sz val="12"/>
        <rFont val="Verdana"/>
        <family val="2"/>
      </rPr>
      <t xml:space="preserve">
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
    </r>
    <r>
      <rPr>
        <strike/>
        <sz val="12"/>
        <color rgb="FFFF0000"/>
        <rFont val="Verdana"/>
        <family val="2"/>
      </rPr>
      <t>This is intended for use by suppliers participating in a third-party security assessment and should be completed by a supplier</t>
    </r>
    <r>
      <rPr>
        <sz val="12"/>
        <color rgb="FFFF0000"/>
        <rFont val="Verdana"/>
        <family val="2"/>
      </rPr>
      <t>.</t>
    </r>
    <r>
      <rPr>
        <sz val="12"/>
        <rFont val="Verdana"/>
        <family val="2"/>
      </rPr>
      <t xml:space="preserve">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 </t>
    </r>
  </si>
  <si>
    <r>
      <t xml:space="preserve">Energy Sector Supply Chain Risk Questionnaire - Unformatted
</t>
    </r>
    <r>
      <rPr>
        <b/>
        <sz val="16"/>
        <color theme="0" tint="-0.249977111117893"/>
        <rFont val="Verdana"/>
        <family val="2"/>
      </rPr>
      <t>Open Distribution for Supply Chain Materials
Copyright © 2022 North American Transmission Forum, Inc.</t>
    </r>
  </si>
  <si>
    <r>
      <rPr>
        <strike/>
        <sz val="12"/>
        <color rgb="FFFF0000"/>
        <rFont val="Verdana"/>
        <family val="2"/>
      </rPr>
      <t xml:space="preserve">Step 1: Complete the Qualifiers section first. </t>
    </r>
    <r>
      <rPr>
        <sz val="12"/>
        <color theme="1"/>
        <rFont val="Verdana"/>
        <family val="2"/>
      </rPr>
      <t xml:space="preserve">
Step </t>
    </r>
    <r>
      <rPr>
        <sz val="12"/>
        <color rgb="FFFF0000"/>
        <rFont val="Verdana"/>
        <family val="2"/>
      </rPr>
      <t>1</t>
    </r>
    <r>
      <rPr>
        <strike/>
        <sz val="12"/>
        <color rgb="FFFF0000"/>
        <rFont val="Verdana"/>
        <family val="2"/>
      </rPr>
      <t>2</t>
    </r>
    <r>
      <rPr>
        <sz val="12"/>
        <color theme="1"/>
        <rFont val="Verdana"/>
        <family val="2"/>
      </rPr>
      <t xml:space="preserve">: Complete each section answering each set of questions. </t>
    </r>
    <r>
      <rPr>
        <strike/>
        <sz val="12"/>
        <color rgb="FFFF0000"/>
        <rFont val="Verdana"/>
        <family val="2"/>
      </rPr>
      <t xml:space="preserve">in order from top to bottom; the built-in formatting logic relies on this order. </t>
    </r>
    <r>
      <rPr>
        <sz val="12"/>
        <color theme="1"/>
        <rFont val="Verdana"/>
        <family val="2"/>
      </rPr>
      <t xml:space="preserve">
Step </t>
    </r>
    <r>
      <rPr>
        <sz val="12"/>
        <color rgb="FFFF0000"/>
        <rFont val="Verdana"/>
        <family val="2"/>
      </rPr>
      <t>2</t>
    </r>
    <r>
      <rPr>
        <strike/>
        <sz val="12"/>
        <color rgb="FFFF0000"/>
        <rFont val="Verdana"/>
        <family val="2"/>
      </rPr>
      <t>3</t>
    </r>
    <r>
      <rPr>
        <sz val="12"/>
        <color theme="1"/>
        <rFont val="Verdana"/>
        <family val="2"/>
      </rPr>
      <t xml:space="preserve">: Submit the completed Energy Sector Supply Chain Risk Questionnaire to the utility according to utility's procedures.  
</t>
    </r>
    <r>
      <rPr>
        <strike/>
        <sz val="12"/>
        <color rgb="FFFF0000"/>
        <rFont val="Verdana"/>
        <family val="2"/>
      </rPr>
      <t>Some questions may be highlighted in yellow based on responses to previous questions. Please note that the completion of questions highlighted in yellow is optional.</t>
    </r>
    <r>
      <rPr>
        <sz val="12"/>
        <color theme="1"/>
        <rFont val="Verdana"/>
        <family val="2"/>
      </rPr>
      <t xml:space="preserve">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r>
  </si>
  <si>
    <r>
      <t xml:space="preserve">Energy Subsector Supply Chain Risk Questionnaire - Unformatted
</t>
    </r>
    <r>
      <rPr>
        <b/>
        <sz val="22"/>
        <color rgb="FFFF0000"/>
        <rFont val="Calibri Light"/>
        <family val="2"/>
        <scheme val="major"/>
      </rPr>
      <t>(Redline)</t>
    </r>
  </si>
  <si>
    <r>
      <t xml:space="preserve">Version: </t>
    </r>
    <r>
      <rPr>
        <sz val="11"/>
        <color rgb="FFFF0000"/>
        <rFont val="Calibri"/>
        <family val="2"/>
        <scheme val="minor"/>
      </rPr>
      <t>3.0</t>
    </r>
  </si>
  <si>
    <r>
      <t xml:space="preserve">Approved: </t>
    </r>
    <r>
      <rPr>
        <sz val="11"/>
        <color rgb="FFFF0000"/>
        <rFont val="Calibri"/>
        <family val="2"/>
        <scheme val="minor"/>
      </rPr>
      <t>06/03/2022</t>
    </r>
  </si>
  <si>
    <r>
      <t xml:space="preserve">Added note to General Information section
Updated use of "entity", "utility", "customer", and "purchaser" throughout as appropriate
Removed duplicate question GNRL-13
Added Criteria 61, 62, and 63 as Primary for COMP-05 ,06, and 07
Added clarifying text to WFM-11 and WFM-12
</t>
    </r>
    <r>
      <rPr>
        <sz val="11"/>
        <rFont val="Calibri"/>
        <family val="2"/>
        <scheme val="minor"/>
      </rPr>
      <t>Removed duplicate question IAM-14</t>
    </r>
    <r>
      <rPr>
        <sz val="11"/>
        <color theme="1"/>
        <rFont val="Calibri"/>
        <family val="2"/>
        <scheme val="minor"/>
      </rPr>
      <t xml:space="preserve">
Added DATA-26 to address removable media
Added CSPM-20 regarding asset inventory
Added NATF Criteria 20 for RISK-07
Removed RISK-24 and merged with IAM-05
Removed question VULN-04
Added clarifying text to VULN-18
</t>
    </r>
    <r>
      <rPr>
        <i/>
        <sz val="11"/>
        <color rgb="FFFF0000"/>
        <rFont val="Calibri"/>
        <family val="2"/>
        <scheme val="minor"/>
      </rPr>
      <t>Changes are indicated by red font</t>
    </r>
  </si>
  <si>
    <t>Version 3.0</t>
  </si>
  <si>
    <r>
      <t xml:space="preserve">Does your personnel vetting process allow you to share background check criteria and results with </t>
    </r>
    <r>
      <rPr>
        <strike/>
        <sz val="11"/>
        <color rgb="FFFF0000"/>
        <rFont val="Verdana"/>
        <family val="2"/>
      </rPr>
      <t xml:space="preserve">entity </t>
    </r>
    <r>
      <rPr>
        <sz val="11"/>
        <color rgb="FFFF0000"/>
        <rFont val="Verdana"/>
        <family val="2"/>
      </rPr>
      <t xml:space="preserve">utility </t>
    </r>
    <r>
      <rPr>
        <sz val="11"/>
        <rFont val="Verdana"/>
        <family val="2"/>
      </rPr>
      <t>for confirmation of process or verification of sampled employees?</t>
    </r>
  </si>
  <si>
    <r>
      <t xml:space="preserve">For access within supplier's system functioning as a BCSI repository for </t>
    </r>
    <r>
      <rPr>
        <strike/>
        <sz val="11"/>
        <color rgb="FFFF0000"/>
        <rFont val="Verdana"/>
        <family val="2"/>
      </rPr>
      <t xml:space="preserve">entity </t>
    </r>
    <r>
      <rPr>
        <sz val="11"/>
        <color rgb="FFFF0000"/>
        <rFont val="Verdana"/>
        <family val="2"/>
      </rPr>
      <t>utility</t>
    </r>
    <r>
      <rPr>
        <sz val="11"/>
        <rFont val="Verdana"/>
        <family val="2"/>
      </rPr>
      <t xml:space="preserve"> data, has supplier implemented procedures to revoke access within 24 hours when any individual no longer requires access due to change in employment status or job duties?</t>
    </r>
  </si>
  <si>
    <r>
      <t xml:space="preserve">Do you maintain an access list of all individuals with access to </t>
    </r>
    <r>
      <rPr>
        <strike/>
        <sz val="11"/>
        <color rgb="FFFF0000"/>
        <rFont val="Verdana"/>
        <family val="2"/>
      </rPr>
      <t>entity’s</t>
    </r>
    <r>
      <rPr>
        <sz val="11"/>
        <rFont val="Verdana"/>
        <family val="2"/>
      </rPr>
      <t xml:space="preserve"> </t>
    </r>
    <r>
      <rPr>
        <sz val="11"/>
        <color rgb="FFFF0000"/>
        <rFont val="Verdana"/>
        <family val="2"/>
      </rPr>
      <t>utility's</t>
    </r>
    <r>
      <rPr>
        <sz val="11"/>
        <rFont val="Verdana"/>
        <family val="2"/>
      </rPr>
      <t xml:space="preserve"> assets, information and facilities?</t>
    </r>
  </si>
  <si>
    <r>
      <t xml:space="preserve">If remote access is needed into the </t>
    </r>
    <r>
      <rPr>
        <strike/>
        <sz val="11"/>
        <color rgb="FFFF0000"/>
        <rFont val="Verdana"/>
        <family val="2"/>
      </rPr>
      <t xml:space="preserve">entity's </t>
    </r>
    <r>
      <rPr>
        <sz val="11"/>
        <color rgb="FFFF0000"/>
        <rFont val="Verdana"/>
        <family val="2"/>
      </rPr>
      <t xml:space="preserve">utility's </t>
    </r>
    <r>
      <rPr>
        <sz val="11"/>
        <rFont val="Verdana"/>
        <family val="2"/>
      </rPr>
      <t>systems, do you have an implemented process to obtain authorization from entity prior to initializing each remote access session?</t>
    </r>
  </si>
  <si>
    <r>
      <t xml:space="preserve">Do you have a business continuity plan (BCP) to support ongoing operations of your systems and scope of equipment and/or services provided to the </t>
    </r>
    <r>
      <rPr>
        <strike/>
        <sz val="11"/>
        <color rgb="FFFF0000"/>
        <rFont val="Verdana"/>
        <family val="2"/>
      </rPr>
      <t xml:space="preserve">entity </t>
    </r>
    <r>
      <rPr>
        <sz val="11"/>
        <color rgb="FFFF0000"/>
        <rFont val="Verdana"/>
        <family val="2"/>
      </rPr>
      <t>utility</t>
    </r>
    <r>
      <rPr>
        <sz val="11"/>
        <rFont val="Verdana"/>
        <family val="2"/>
      </rPr>
      <t>?</t>
    </r>
  </si>
  <si>
    <r>
      <t xml:space="preserve">Does the process described in </t>
    </r>
    <r>
      <rPr>
        <strike/>
        <sz val="11"/>
        <color rgb="FFFF0000"/>
        <rFont val="Verdana"/>
        <family val="2"/>
      </rPr>
      <t>question above</t>
    </r>
    <r>
      <rPr>
        <sz val="11"/>
        <color rgb="FFFF0000"/>
        <rFont val="Verdana"/>
        <family val="2"/>
      </rPr>
      <t xml:space="preserve"> CSTA-06</t>
    </r>
    <r>
      <rPr>
        <sz val="11"/>
        <color rgb="FF0070C0"/>
        <rFont val="Verdana"/>
        <family val="2"/>
      </rPr>
      <t xml:space="preserve"> </t>
    </r>
    <r>
      <rPr>
        <sz val="11"/>
        <rFont val="Verdana"/>
        <family val="2"/>
      </rPr>
      <t>adhere to DoD 5220.22-M and/or NIST SP 800-88 standards?</t>
    </r>
  </si>
  <si>
    <r>
      <t xml:space="preserve">Do you establish and maintain a security program for the product(s) or service(s) being purchased, including implemented processes to verify the integrity and authenticity of the software, patches, and firmware relevant to the product(s) or service(s) being delivered to the </t>
    </r>
    <r>
      <rPr>
        <strike/>
        <sz val="11"/>
        <color rgb="FFFF0000"/>
        <rFont val="Verdana"/>
        <family val="2"/>
      </rPr>
      <t xml:space="preserve">entity </t>
    </r>
    <r>
      <rPr>
        <sz val="11"/>
        <color rgb="FFFF0000"/>
        <rFont val="Verdana"/>
        <family val="2"/>
      </rPr>
      <t>utility</t>
    </r>
    <r>
      <rPr>
        <sz val="11"/>
        <rFont val="Verdana"/>
        <family val="2"/>
      </rPr>
      <t>?</t>
    </r>
  </si>
  <si>
    <r>
      <t xml:space="preserve">Published
</t>
    </r>
    <r>
      <rPr>
        <b/>
        <sz val="12"/>
        <color rgb="FFC00000"/>
        <rFont val="Verdana"/>
        <family val="2"/>
      </rPr>
      <t>06/06/2022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</si>
</sst>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0"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b/>
      <sz val="16"/>
      <color theme="0" tint="-0.249977111117893"/>
      <name val="Verdana"/>
      <family val="2"/>
    </font>
    <font>
      <b/>
      <sz val="22"/>
      <color theme="4" tint="-0.499984740745262"/>
      <name val="Calibri Light"/>
      <family val="2"/>
      <scheme val="major"/>
    </font>
    <font>
      <sz val="11"/>
      <color rgb="FFFF0000"/>
      <name val="Calibri"/>
      <family val="2"/>
      <scheme val="minor"/>
    </font>
    <font>
      <sz val="16"/>
      <color rgb="FFFF0000"/>
      <name val="Calibri"/>
      <family val="2"/>
      <scheme val="minor"/>
    </font>
    <font>
      <u/>
      <sz val="12"/>
      <color theme="10"/>
      <name val="Verdana"/>
      <family val="2"/>
    </font>
    <font>
      <sz val="8"/>
      <name val="Verdana"/>
      <family val="2"/>
    </font>
    <font>
      <strike/>
      <sz val="11"/>
      <color rgb="FFFF0000"/>
      <name val="Verdana"/>
      <family val="2"/>
    </font>
    <font>
      <i/>
      <strike/>
      <sz val="11"/>
      <color rgb="FFFF0000"/>
      <name val="Verdana"/>
      <family val="2"/>
    </font>
    <font>
      <b/>
      <sz val="12"/>
      <color rgb="FFFF0000"/>
      <name val="Verdana"/>
      <family val="2"/>
    </font>
    <font>
      <b/>
      <sz val="22"/>
      <color rgb="FFFF0000"/>
      <name val="Calibri Light"/>
      <family val="2"/>
      <scheme val="major"/>
    </font>
    <font>
      <i/>
      <sz val="11"/>
      <color rgb="FFFF0000"/>
      <name val="Calibri"/>
      <family val="2"/>
      <scheme val="minor"/>
    </font>
    <font>
      <strike/>
      <sz val="12"/>
      <color rgb="FFFF0000"/>
      <name val="Verdana"/>
      <family val="2"/>
    </font>
    <font>
      <sz val="12"/>
      <color rgb="FFFF0000"/>
      <name val="Verdana"/>
      <family val="2"/>
    </font>
    <font>
      <b/>
      <sz val="12"/>
      <color rgb="FFC00000"/>
      <name val="Verdana"/>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applyNumberFormat="0" applyFill="0" applyBorder="0" applyProtection="0">
      <alignment vertical="top" wrapText="1"/>
    </xf>
    <xf numFmtId="0" fontId="10" fillId="0" borderId="0"/>
    <xf numFmtId="0" fontId="7" fillId="0" borderId="0"/>
    <xf numFmtId="0" fontId="5" fillId="0" borderId="0"/>
    <xf numFmtId="0" fontId="40" fillId="0" borderId="0" applyNumberFormat="0" applyFill="0" applyBorder="0" applyAlignment="0" applyProtection="0">
      <alignment vertical="top" wrapText="1"/>
    </xf>
    <xf numFmtId="0" fontId="3" fillId="0" borderId="0"/>
    <xf numFmtId="0" fontId="3" fillId="0" borderId="0"/>
  </cellStyleXfs>
  <cellXfs count="145">
    <xf numFmtId="0" fontId="0" fillId="0" borderId="0" xfId="0">
      <alignment vertical="top" wrapText="1"/>
    </xf>
    <xf numFmtId="0" fontId="13" fillId="0" borderId="0" xfId="0" applyNumberFormat="1" applyFont="1" applyAlignment="1"/>
    <xf numFmtId="0" fontId="0" fillId="0" borderId="0" xfId="0" applyFont="1" applyAlignment="1">
      <alignment vertical="top" wrapText="1"/>
    </xf>
    <xf numFmtId="0" fontId="17" fillId="4"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22" fillId="8" borderId="1" xfId="0" applyFont="1" applyFill="1" applyBorder="1" applyAlignment="1">
      <alignment vertical="center" wrapText="1"/>
    </xf>
    <xf numFmtId="0" fontId="13" fillId="0" borderId="0" xfId="0" applyNumberFormat="1" applyFont="1" applyAlignment="1">
      <alignment horizontal="center" vertical="center"/>
    </xf>
    <xf numFmtId="0" fontId="13" fillId="0" borderId="0" xfId="0" applyNumberFormat="1" applyFont="1" applyAlignment="1">
      <alignment wrapText="1"/>
    </xf>
    <xf numFmtId="0" fontId="20" fillId="0" borderId="0" xfId="0" applyNumberFormat="1" applyFont="1" applyBorder="1" applyAlignment="1">
      <alignment wrapText="1"/>
    </xf>
    <xf numFmtId="0" fontId="13" fillId="2" borderId="4" xfId="0" applyFont="1" applyFill="1" applyBorder="1" applyAlignment="1">
      <alignment vertical="center" wrapText="1"/>
    </xf>
    <xf numFmtId="0" fontId="0" fillId="2" borderId="0" xfId="0" applyFill="1" applyBorder="1" applyAlignment="1">
      <alignment vertical="top"/>
    </xf>
    <xf numFmtId="0" fontId="13" fillId="2" borderId="0" xfId="0" applyFont="1" applyFill="1" applyBorder="1" applyAlignment="1">
      <alignment vertical="center"/>
    </xf>
    <xf numFmtId="0" fontId="24" fillId="2" borderId="0" xfId="0" applyFont="1" applyFill="1" applyBorder="1" applyAlignment="1">
      <alignment vertical="center" wrapText="1"/>
    </xf>
    <xf numFmtId="0" fontId="27" fillId="7" borderId="1" xfId="0" applyFont="1" applyFill="1" applyBorder="1" applyAlignment="1">
      <alignment vertical="center" wrapText="1"/>
    </xf>
    <xf numFmtId="0" fontId="26" fillId="3" borderId="1" xfId="0" applyNumberFormat="1" applyFont="1" applyFill="1" applyBorder="1" applyAlignment="1">
      <alignment vertical="center" wrapText="1"/>
    </xf>
    <xf numFmtId="1" fontId="26" fillId="3" borderId="1" xfId="0" applyNumberFormat="1" applyFont="1" applyFill="1" applyBorder="1" applyAlignment="1">
      <alignment vertical="center" wrapText="1"/>
    </xf>
    <xf numFmtId="0" fontId="26" fillId="10" borderId="1" xfId="0" applyNumberFormat="1" applyFont="1" applyFill="1" applyBorder="1" applyAlignment="1">
      <alignment vertical="center" wrapText="1"/>
    </xf>
    <xf numFmtId="1" fontId="29" fillId="0" borderId="1" xfId="0" applyNumberFormat="1" applyFont="1" applyFill="1" applyBorder="1" applyAlignment="1">
      <alignment vertical="center" wrapText="1"/>
    </xf>
    <xf numFmtId="0" fontId="14" fillId="10" borderId="1" xfId="0" applyNumberFormat="1" applyFont="1" applyFill="1" applyBorder="1" applyAlignment="1">
      <alignment vertical="center" wrapText="1"/>
    </xf>
    <xf numFmtId="0" fontId="29" fillId="3" borderId="1" xfId="0" applyNumberFormat="1" applyFont="1" applyFill="1" applyBorder="1" applyAlignment="1">
      <alignment horizontal="left" vertical="center" wrapText="1"/>
    </xf>
    <xf numFmtId="0" fontId="26" fillId="2" borderId="1" xfId="0" applyNumberFormat="1" applyFont="1" applyFill="1" applyBorder="1" applyAlignment="1">
      <alignment vertical="center" wrapText="1"/>
    </xf>
    <xf numFmtId="1" fontId="26" fillId="0" borderId="1" xfId="0" applyNumberFormat="1" applyFont="1" applyFill="1" applyBorder="1" applyAlignment="1">
      <alignment vertical="center" wrapText="1"/>
    </xf>
    <xf numFmtId="0" fontId="26" fillId="2" borderId="4" xfId="0" applyFont="1" applyFill="1" applyBorder="1" applyAlignment="1">
      <alignment vertical="center" wrapText="1"/>
    </xf>
    <xf numFmtId="0" fontId="29"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26" fillId="0" borderId="1" xfId="0" applyNumberFormat="1" applyFont="1" applyFill="1" applyBorder="1" applyAlignment="1">
      <alignment vertical="center" wrapText="1"/>
    </xf>
    <xf numFmtId="0" fontId="29" fillId="0" borderId="1" xfId="0" applyNumberFormat="1" applyFont="1" applyFill="1" applyBorder="1" applyAlignment="1">
      <alignment vertical="center" wrapText="1"/>
    </xf>
    <xf numFmtId="0" fontId="13" fillId="2" borderId="0" xfId="0" applyFont="1" applyFill="1" applyBorder="1" applyAlignment="1">
      <alignment vertical="center"/>
    </xf>
    <xf numFmtId="0" fontId="13" fillId="2" borderId="5" xfId="0" applyFont="1" applyFill="1" applyBorder="1" applyAlignment="1">
      <alignment vertical="center"/>
    </xf>
    <xf numFmtId="0" fontId="12" fillId="9" borderId="1" xfId="0" applyNumberFormat="1" applyFont="1" applyFill="1" applyBorder="1" applyAlignment="1">
      <alignment horizontal="left" vertical="center" wrapText="1"/>
    </xf>
    <xf numFmtId="0" fontId="13" fillId="0" borderId="0" xfId="0" applyNumberFormat="1" applyFont="1" applyAlignment="1">
      <alignment horizontal="left" vertical="center"/>
    </xf>
    <xf numFmtId="0" fontId="13" fillId="2" borderId="0" xfId="0" applyNumberFormat="1" applyFont="1" applyFill="1" applyBorder="1" applyAlignment="1">
      <alignment horizontal="left" vertical="center"/>
    </xf>
    <xf numFmtId="0" fontId="13" fillId="2" borderId="6" xfId="0" applyNumberFormat="1" applyFont="1" applyFill="1" applyBorder="1" applyAlignment="1">
      <alignment horizontal="left" vertical="center"/>
    </xf>
    <xf numFmtId="0" fontId="26" fillId="7" borderId="1" xfId="0" applyFont="1" applyFill="1" applyBorder="1" applyAlignment="1">
      <alignment vertical="center" wrapText="1"/>
    </xf>
    <xf numFmtId="0" fontId="26" fillId="3" borderId="1" xfId="0" applyNumberFormat="1" applyFont="1" applyFill="1" applyBorder="1" applyAlignment="1">
      <alignment horizontal="left" vertical="center" wrapText="1"/>
    </xf>
    <xf numFmtId="0" fontId="26" fillId="2" borderId="1" xfId="0" applyNumberFormat="1" applyFont="1" applyFill="1" applyBorder="1" applyAlignment="1">
      <alignment horizontal="left" vertical="center" wrapText="1"/>
    </xf>
    <xf numFmtId="0" fontId="26" fillId="2" borderId="1" xfId="0" applyNumberFormat="1" applyFont="1" applyFill="1" applyBorder="1" applyAlignment="1">
      <alignment horizontal="center" vertical="center"/>
    </xf>
    <xf numFmtId="0" fontId="26" fillId="2" borderId="1" xfId="0" applyNumberFormat="1" applyFont="1" applyFill="1" applyBorder="1" applyAlignment="1">
      <alignment horizontal="center" vertical="center" wrapText="1"/>
    </xf>
    <xf numFmtId="0" fontId="26" fillId="8" borderId="1" xfId="0" applyFont="1" applyFill="1" applyBorder="1" applyAlignment="1">
      <alignment vertical="center" wrapText="1"/>
    </xf>
    <xf numFmtId="0" fontId="2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21"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4" fillId="0" borderId="0" xfId="0" applyFont="1" applyAlignment="1"/>
    <xf numFmtId="0" fontId="34" fillId="0" borderId="0" xfId="1" applyFont="1"/>
    <xf numFmtId="0" fontId="10" fillId="0" borderId="0" xfId="1"/>
    <xf numFmtId="0" fontId="10" fillId="0" borderId="7" xfId="1" applyBorder="1" applyAlignment="1">
      <alignment horizontal="left" wrapText="1"/>
    </xf>
    <xf numFmtId="0" fontId="10" fillId="0" borderId="8" xfId="1" applyBorder="1" applyAlignment="1">
      <alignment horizontal="left" wrapText="1"/>
    </xf>
    <xf numFmtId="14" fontId="10" fillId="0" borderId="9" xfId="1" applyNumberFormat="1" applyBorder="1" applyAlignment="1">
      <alignment horizontal="left" wrapText="1"/>
    </xf>
    <xf numFmtId="0" fontId="10" fillId="0" borderId="10" xfId="1" applyBorder="1" applyAlignment="1">
      <alignment horizontal="center" wrapText="1"/>
    </xf>
    <xf numFmtId="0" fontId="10" fillId="0" borderId="10" xfId="1" applyBorder="1" applyAlignment="1">
      <alignment horizontal="left" wrapText="1"/>
    </xf>
    <xf numFmtId="0" fontId="26" fillId="0" borderId="1" xfId="0" applyFont="1" applyFill="1" applyBorder="1" applyAlignment="1">
      <alignment vertical="center" wrapText="1"/>
    </xf>
    <xf numFmtId="0" fontId="26" fillId="3" borderId="1" xfId="0" applyFont="1" applyFill="1" applyBorder="1" applyAlignment="1">
      <alignment vertical="center" wrapText="1"/>
    </xf>
    <xf numFmtId="0" fontId="9" fillId="0" borderId="8" xfId="1" applyFont="1" applyBorder="1" applyAlignment="1">
      <alignment horizontal="left" wrapText="1"/>
    </xf>
    <xf numFmtId="0" fontId="13" fillId="2" borderId="0" xfId="0" applyFont="1" applyFill="1" applyBorder="1" applyAlignment="1">
      <alignment vertical="center"/>
    </xf>
    <xf numFmtId="0" fontId="8" fillId="0" borderId="10" xfId="1" applyFont="1" applyBorder="1" applyAlignment="1">
      <alignment horizontal="left" wrapText="1"/>
    </xf>
    <xf numFmtId="1" fontId="32" fillId="2" borderId="1" xfId="0" applyNumberFormat="1" applyFont="1" applyFill="1" applyBorder="1" applyAlignment="1">
      <alignment vertical="center" wrapText="1"/>
    </xf>
    <xf numFmtId="1" fontId="32" fillId="10" borderId="1" xfId="0" applyNumberFormat="1" applyFont="1" applyFill="1" applyBorder="1" applyAlignment="1">
      <alignment vertical="center" wrapText="1"/>
    </xf>
    <xf numFmtId="0" fontId="32" fillId="2" borderId="1" xfId="0" applyNumberFormat="1" applyFont="1" applyFill="1" applyBorder="1" applyAlignment="1">
      <alignment vertical="center" wrapText="1"/>
    </xf>
    <xf numFmtId="0" fontId="32" fillId="11" borderId="1" xfId="0" applyFont="1" applyFill="1" applyBorder="1" applyAlignment="1">
      <alignment vertical="center" wrapText="1"/>
    </xf>
    <xf numFmtId="0" fontId="32" fillId="2" borderId="1" xfId="0" applyFont="1" applyFill="1" applyBorder="1" applyAlignment="1">
      <alignment vertical="center" wrapText="1"/>
    </xf>
    <xf numFmtId="165" fontId="6" fillId="0" borderId="10" xfId="1" applyNumberFormat="1" applyFont="1" applyBorder="1" applyAlignment="1">
      <alignment horizontal="center" vertical="top" wrapText="1"/>
    </xf>
    <xf numFmtId="0" fontId="26" fillId="7" borderId="1" xfId="0" applyFont="1" applyFill="1" applyBorder="1" applyAlignment="1">
      <alignment vertical="center" wrapText="1"/>
    </xf>
    <xf numFmtId="0" fontId="26" fillId="2" borderId="0" xfId="0" applyFont="1" applyFill="1" applyBorder="1" applyAlignment="1">
      <alignment vertical="center"/>
    </xf>
    <xf numFmtId="0" fontId="27" fillId="0" borderId="0" xfId="0" applyFont="1">
      <alignment vertical="top" wrapText="1"/>
    </xf>
    <xf numFmtId="165" fontId="10" fillId="0" borderId="10" xfId="1" applyNumberFormat="1" applyBorder="1" applyAlignment="1">
      <alignment horizontal="center" wrapText="1"/>
    </xf>
    <xf numFmtId="14" fontId="38" fillId="0" borderId="9" xfId="1" applyNumberFormat="1" applyFont="1" applyBorder="1" applyAlignment="1">
      <alignment horizontal="left" vertical="top" wrapText="1"/>
    </xf>
    <xf numFmtId="14" fontId="39" fillId="0" borderId="0" xfId="1" applyNumberFormat="1" applyFont="1" applyBorder="1" applyAlignment="1">
      <alignment horizontal="left" vertical="top" wrapText="1"/>
    </xf>
    <xf numFmtId="0" fontId="26" fillId="7" borderId="1" xfId="0" applyFont="1" applyFill="1" applyBorder="1" applyAlignment="1">
      <alignment vertical="center" wrapText="1"/>
    </xf>
    <xf numFmtId="0" fontId="21" fillId="2" borderId="1" xfId="0" applyNumberFormat="1" applyFont="1" applyFill="1" applyBorder="1" applyAlignment="1">
      <alignment vertical="center" wrapText="1"/>
    </xf>
    <xf numFmtId="0" fontId="21" fillId="2" borderId="4" xfId="0" applyFont="1" applyFill="1" applyBorder="1" applyAlignment="1">
      <alignment vertical="center" wrapText="1"/>
    </xf>
    <xf numFmtId="0" fontId="21" fillId="7" borderId="1" xfId="0" applyFont="1" applyFill="1" applyBorder="1" applyAlignment="1">
      <alignment vertical="center" wrapText="1"/>
    </xf>
    <xf numFmtId="1" fontId="21" fillId="0" borderId="1" xfId="0" applyNumberFormat="1" applyFont="1" applyFill="1" applyBorder="1" applyAlignment="1">
      <alignment vertical="center" wrapText="1"/>
    </xf>
    <xf numFmtId="0" fontId="21" fillId="0" borderId="0" xfId="0" applyNumberFormat="1" applyFont="1" applyAlignment="1"/>
    <xf numFmtId="0" fontId="4" fillId="0" borderId="10" xfId="1" applyFont="1" applyBorder="1" applyAlignment="1">
      <alignment horizontal="left" vertical="top" wrapText="1"/>
    </xf>
    <xf numFmtId="14" fontId="34" fillId="0" borderId="9" xfId="1" applyNumberFormat="1" applyFont="1" applyBorder="1" applyAlignment="1">
      <alignment horizontal="left" vertical="top" wrapText="1"/>
    </xf>
    <xf numFmtId="0" fontId="42" fillId="2" borderId="4" xfId="0" applyFont="1" applyFill="1" applyBorder="1" applyAlignment="1">
      <alignment vertical="center" wrapText="1"/>
    </xf>
    <xf numFmtId="0" fontId="42" fillId="2" borderId="1" xfId="0" applyNumberFormat="1" applyFont="1" applyFill="1" applyBorder="1" applyAlignment="1">
      <alignment horizontal="left" vertical="center" wrapText="1"/>
    </xf>
    <xf numFmtId="0" fontId="42" fillId="2" borderId="1" xfId="0" applyNumberFormat="1" applyFont="1" applyFill="1" applyBorder="1" applyAlignment="1">
      <alignment vertical="center" wrapText="1"/>
    </xf>
    <xf numFmtId="0" fontId="42" fillId="7" borderId="1" xfId="0" applyFont="1" applyFill="1" applyBorder="1" applyAlignment="1">
      <alignment vertical="center" wrapText="1"/>
    </xf>
    <xf numFmtId="1" fontId="42" fillId="3" borderId="1" xfId="0" applyNumberFormat="1" applyFont="1" applyFill="1" applyBorder="1" applyAlignment="1">
      <alignment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vertical="center" wrapText="1"/>
    </xf>
    <xf numFmtId="165" fontId="38" fillId="0" borderId="10" xfId="1" applyNumberFormat="1" applyFont="1" applyBorder="1" applyAlignment="1">
      <alignment horizontal="center" vertical="top" wrapText="1"/>
    </xf>
    <xf numFmtId="0" fontId="0" fillId="0" borderId="0" xfId="0">
      <alignment vertical="top" wrapText="1"/>
    </xf>
    <xf numFmtId="0" fontId="12" fillId="9" borderId="1" xfId="0" applyNumberFormat="1" applyFont="1" applyFill="1" applyBorder="1" applyAlignment="1">
      <alignment horizontal="center" vertical="center" wrapText="1"/>
    </xf>
    <xf numFmtId="0" fontId="35" fillId="0" borderId="0" xfId="0" applyFont="1" applyAlignment="1"/>
    <xf numFmtId="0" fontId="0" fillId="0" borderId="0" xfId="0" applyAlignment="1">
      <alignment horizontal="justify" vertical="center"/>
    </xf>
    <xf numFmtId="0" fontId="26" fillId="7" borderId="1" xfId="0" applyFont="1" applyFill="1" applyBorder="1" applyAlignment="1">
      <alignment vertical="center" wrapText="1"/>
    </xf>
    <xf numFmtId="0" fontId="2" fillId="0" borderId="10" xfId="1" applyFont="1" applyBorder="1" applyAlignment="1">
      <alignment horizontal="left" vertical="top" wrapText="1"/>
    </xf>
    <xf numFmtId="0" fontId="49" fillId="9" borderId="1" xfId="0" applyNumberFormat="1" applyFont="1" applyFill="1" applyBorder="1" applyAlignment="1">
      <alignment horizontal="center" vertical="center" wrapText="1"/>
    </xf>
    <xf numFmtId="0" fontId="42" fillId="0" borderId="1" xfId="0" applyNumberFormat="1" applyFont="1" applyFill="1" applyBorder="1" applyAlignment="1">
      <alignment horizontal="left" vertical="center" wrapText="1"/>
    </xf>
    <xf numFmtId="0" fontId="42" fillId="2" borderId="1" xfId="0" applyNumberFormat="1" applyFont="1" applyFill="1" applyBorder="1" applyAlignment="1">
      <alignment horizontal="center" vertical="center"/>
    </xf>
    <xf numFmtId="0" fontId="42" fillId="2" borderId="1" xfId="0" applyNumberFormat="1" applyFont="1" applyFill="1" applyBorder="1" applyAlignment="1">
      <alignment horizontal="center" vertical="center" wrapText="1"/>
    </xf>
    <xf numFmtId="0" fontId="33" fillId="0" borderId="0" xfId="0" applyFont="1" applyAlignment="1">
      <alignment horizontal="left" vertical="center" wrapText="1"/>
    </xf>
    <xf numFmtId="0" fontId="37" fillId="0" borderId="0" xfId="0" applyFont="1" applyAlignment="1">
      <alignment horizontal="left" wrapText="1"/>
    </xf>
    <xf numFmtId="0" fontId="33" fillId="0" borderId="0" xfId="0" applyFont="1" applyAlignment="1">
      <alignment horizontal="left" vertical="center"/>
    </xf>
    <xf numFmtId="0" fontId="31" fillId="0" borderId="2"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4" xfId="0" applyNumberFormat="1" applyFont="1" applyFill="1" applyBorder="1" applyAlignment="1">
      <alignment horizontal="left" vertical="center" wrapText="1"/>
    </xf>
    <xf numFmtId="0" fontId="26" fillId="7" borderId="1" xfId="0" applyFont="1" applyFill="1" applyBorder="1" applyAlignment="1">
      <alignment vertical="center" wrapText="1"/>
    </xf>
    <xf numFmtId="0" fontId="17" fillId="4" borderId="1" xfId="0" applyNumberFormat="1" applyFont="1" applyFill="1" applyBorder="1" applyAlignment="1">
      <alignment horizontal="left" vertical="center" wrapText="1"/>
    </xf>
    <xf numFmtId="0" fontId="29" fillId="0" borderId="2"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18" fillId="5" borderId="2" xfId="0" applyNumberFormat="1" applyFont="1" applyFill="1" applyBorder="1" applyAlignment="1">
      <alignment horizontal="left" vertical="center" wrapText="1"/>
    </xf>
    <xf numFmtId="0" fontId="18" fillId="5" borderId="3" xfId="0" applyNumberFormat="1" applyFont="1" applyFill="1" applyBorder="1" applyAlignment="1">
      <alignment horizontal="left" vertical="center" wrapText="1"/>
    </xf>
    <xf numFmtId="0" fontId="18" fillId="5" borderId="4" xfId="0" applyNumberFormat="1" applyFont="1" applyFill="1" applyBorder="1" applyAlignment="1">
      <alignment horizontal="left" vertical="center" wrapText="1"/>
    </xf>
    <xf numFmtId="0" fontId="31" fillId="0" borderId="2" xfId="0" applyNumberFormat="1" applyFont="1" applyFill="1" applyBorder="1" applyAlignment="1">
      <alignment vertical="center" wrapText="1"/>
    </xf>
    <xf numFmtId="0" fontId="31" fillId="0" borderId="3" xfId="0" applyNumberFormat="1" applyFont="1" applyFill="1" applyBorder="1" applyAlignment="1">
      <alignment vertical="center" wrapText="1"/>
    </xf>
    <xf numFmtId="0" fontId="31" fillId="0" borderId="4" xfId="0" applyNumberFormat="1" applyFont="1" applyFill="1" applyBorder="1" applyAlignment="1">
      <alignment vertical="center" wrapText="1"/>
    </xf>
    <xf numFmtId="0" fontId="43" fillId="0" borderId="2" xfId="0" applyNumberFormat="1" applyFont="1" applyFill="1" applyBorder="1" applyAlignment="1">
      <alignment vertical="center" wrapText="1"/>
    </xf>
    <xf numFmtId="0" fontId="43" fillId="0" borderId="3" xfId="0" applyNumberFormat="1" applyFont="1" applyFill="1" applyBorder="1" applyAlignment="1">
      <alignment vertical="center" wrapText="1"/>
    </xf>
    <xf numFmtId="0" fontId="43" fillId="0" borderId="4" xfId="0" applyNumberFormat="1" applyFont="1" applyFill="1" applyBorder="1" applyAlignment="1">
      <alignment vertical="center" wrapText="1"/>
    </xf>
    <xf numFmtId="0" fontId="26" fillId="0" borderId="3"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15" fillId="2" borderId="3" xfId="0" applyNumberFormat="1" applyFont="1" applyFill="1" applyBorder="1" applyAlignment="1">
      <alignment horizontal="right" vertical="center" wrapText="1"/>
    </xf>
    <xf numFmtId="0" fontId="15" fillId="2" borderId="4" xfId="0" applyNumberFormat="1" applyFont="1" applyFill="1" applyBorder="1" applyAlignment="1">
      <alignment horizontal="right" vertical="center" wrapText="1"/>
    </xf>
    <xf numFmtId="0" fontId="11" fillId="9" borderId="1" xfId="0" applyNumberFormat="1" applyFont="1" applyFill="1" applyBorder="1" applyAlignment="1">
      <alignment horizontal="left" vertical="center" wrapText="1"/>
    </xf>
    <xf numFmtId="0" fontId="23" fillId="0" borderId="0" xfId="0" applyFont="1" applyBorder="1" applyAlignment="1">
      <alignment vertical="center" wrapText="1"/>
    </xf>
    <xf numFmtId="0" fontId="13" fillId="2" borderId="0" xfId="0" applyFont="1" applyFill="1" applyBorder="1" applyAlignment="1">
      <alignment vertical="center"/>
    </xf>
    <xf numFmtId="0" fontId="19" fillId="6" borderId="2" xfId="0" applyNumberFormat="1" applyFont="1" applyFill="1" applyBorder="1" applyAlignment="1">
      <alignment horizontal="left" vertical="center" wrapText="1"/>
    </xf>
    <xf numFmtId="0" fontId="19" fillId="6" borderId="3" xfId="0" applyNumberFormat="1" applyFont="1" applyFill="1" applyBorder="1" applyAlignment="1">
      <alignment horizontal="left" vertical="center" wrapText="1"/>
    </xf>
    <xf numFmtId="0" fontId="19" fillId="6" borderId="4" xfId="0" applyNumberFormat="1" applyFont="1" applyFill="1" applyBorder="1" applyAlignment="1">
      <alignment horizontal="left" vertical="center" wrapText="1"/>
    </xf>
    <xf numFmtId="164" fontId="16" fillId="3" borderId="2" xfId="0" applyNumberFormat="1" applyFont="1" applyFill="1" applyBorder="1" applyAlignment="1">
      <alignment horizontal="left" vertical="center" wrapText="1"/>
    </xf>
    <xf numFmtId="164" fontId="16" fillId="3" borderId="3" xfId="0" applyNumberFormat="1" applyFont="1" applyFill="1" applyBorder="1" applyAlignment="1">
      <alignment horizontal="left" vertical="center" wrapText="1"/>
    </xf>
    <xf numFmtId="164" fontId="16" fillId="3" borderId="4" xfId="0" applyNumberFormat="1" applyFont="1" applyFill="1" applyBorder="1" applyAlignment="1">
      <alignment horizontal="left" vertical="center" wrapText="1"/>
    </xf>
    <xf numFmtId="0" fontId="27" fillId="5" borderId="2" xfId="0" applyNumberFormat="1" applyFont="1" applyFill="1" applyBorder="1" applyAlignment="1">
      <alignment horizontal="left" vertical="center" wrapText="1"/>
    </xf>
    <xf numFmtId="0" fontId="27" fillId="5" borderId="3" xfId="0" applyNumberFormat="1" applyFont="1" applyFill="1" applyBorder="1" applyAlignment="1">
      <alignment horizontal="left" vertical="center" wrapText="1"/>
    </xf>
    <xf numFmtId="0" fontId="27" fillId="5" borderId="4" xfId="0" applyNumberFormat="1" applyFont="1" applyFill="1" applyBorder="1" applyAlignment="1">
      <alignment horizontal="left" vertical="center" wrapText="1"/>
    </xf>
    <xf numFmtId="0" fontId="17" fillId="4" borderId="2" xfId="0" applyNumberFormat="1" applyFont="1" applyFill="1" applyBorder="1" applyAlignment="1">
      <alignment horizontal="left" vertical="center" wrapText="1"/>
    </xf>
    <xf numFmtId="0" fontId="17" fillId="4" borderId="3" xfId="0" applyNumberFormat="1" applyFont="1" applyFill="1" applyBorder="1" applyAlignment="1">
      <alignment horizontal="left" vertical="center" wrapText="1"/>
    </xf>
    <xf numFmtId="0" fontId="17" fillId="4" borderId="4"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26" fillId="3" borderId="2" xfId="0" applyNumberFormat="1" applyFont="1" applyFill="1" applyBorder="1" applyAlignment="1">
      <alignment horizontal="center" vertical="center" wrapText="1"/>
    </xf>
    <xf numFmtId="0" fontId="26" fillId="3" borderId="3" xfId="0" applyNumberFormat="1" applyFont="1" applyFill="1" applyBorder="1" applyAlignment="1">
      <alignment horizontal="center" vertical="center" wrapText="1"/>
    </xf>
    <xf numFmtId="0" fontId="26" fillId="0" borderId="2" xfId="0" applyNumberFormat="1" applyFont="1" applyFill="1" applyBorder="1" applyAlignment="1">
      <alignment horizontal="left" vertical="center" wrapText="1"/>
    </xf>
    <xf numFmtId="1" fontId="26" fillId="3" borderId="2" xfId="0" applyNumberFormat="1" applyFont="1" applyFill="1" applyBorder="1" applyAlignment="1">
      <alignment horizontal="center" vertical="center" wrapText="1"/>
    </xf>
    <xf numFmtId="1" fontId="26" fillId="3" borderId="3" xfId="0" applyNumberFormat="1" applyFont="1" applyFill="1" applyBorder="1" applyAlignment="1">
      <alignment horizontal="center" vertical="center" wrapText="1"/>
    </xf>
    <xf numFmtId="1" fontId="26" fillId="3" borderId="4"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26" fillId="3" borderId="1" xfId="0" applyNumberFormat="1" applyFont="1" applyFill="1" applyBorder="1" applyAlignment="1">
      <alignment horizontal="left" vertical="center" wrapText="1"/>
    </xf>
  </cellXfs>
  <cellStyles count="7">
    <cellStyle name="Hyperlink 2" xfId="4" xr:uid="{9F0E0A36-5624-45CF-B333-2C5AF336D0CB}"/>
    <cellStyle name="Normal" xfId="0" builtinId="0"/>
    <cellStyle name="Normal 3" xfId="1" xr:uid="{2AC8ADC4-B574-4048-8F25-6C4814CE3854}"/>
    <cellStyle name="Normal 3 2" xfId="2" xr:uid="{4FDE45D8-B2D6-4DF5-810D-A1C80F2C2624}"/>
    <cellStyle name="Normal 3 2 2" xfId="6" xr:uid="{DD0371F2-D819-4F76-AF01-DE6973D89054}"/>
    <cellStyle name="Normal 3 3" xfId="3" xr:uid="{E0647A80-D5D8-4315-A031-9DB9C6F8ED5D}"/>
    <cellStyle name="Normal 3 4" xfId="5" xr:uid="{17C121DB-468B-415C-AC0B-FDBEEE65BDF4}"/>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26</xdr:row>
          <xdr:rowOff>219075</xdr:rowOff>
        </xdr:from>
        <xdr:to>
          <xdr:col>0</xdr:col>
          <xdr:colOff>695325</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190500</xdr:rowOff>
        </xdr:from>
        <xdr:to>
          <xdr:col>0</xdr:col>
          <xdr:colOff>695325</xdr:colOff>
          <xdr:row>32</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ColWidth="8.59765625" defaultRowHeight="15" x14ac:dyDescent="0.2"/>
  <cols>
    <col min="3" max="3" width="13.09765625" customWidth="1"/>
  </cols>
  <sheetData>
    <row r="1" spans="1:3" x14ac:dyDescent="0.2">
      <c r="A1" t="s">
        <v>125</v>
      </c>
      <c r="C1" t="s">
        <v>125</v>
      </c>
    </row>
    <row r="2" spans="1:3" x14ac:dyDescent="0.2">
      <c r="A2" t="s">
        <v>126</v>
      </c>
      <c r="C2" t="s">
        <v>126</v>
      </c>
    </row>
    <row r="3" spans="1:3" ht="21" customHeight="1" x14ac:dyDescent="0.2">
      <c r="C3" t="s">
        <v>127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2"/>
  <sheetViews>
    <sheetView tabSelected="1" zoomScaleNormal="100" workbookViewId="0">
      <selection activeCell="A10" sqref="A10"/>
    </sheetView>
  </sheetViews>
  <sheetFormatPr defaultColWidth="8.59765625" defaultRowHeight="15" x14ac:dyDescent="0.2"/>
  <cols>
    <col min="1" max="1" width="19.3984375" style="45" customWidth="1"/>
    <col min="2" max="2" width="8.69921875" style="44"/>
    <col min="3" max="3" width="58.5" style="45" customWidth="1"/>
  </cols>
  <sheetData>
    <row r="1" spans="1:3" ht="21" x14ac:dyDescent="0.2">
      <c r="C1" s="70"/>
    </row>
    <row r="6" spans="1:3" ht="63" customHeight="1" x14ac:dyDescent="0.45">
      <c r="A6" s="98" t="s">
        <v>660</v>
      </c>
      <c r="B6" s="98"/>
      <c r="C6" s="98"/>
    </row>
    <row r="7" spans="1:3" ht="15.75" x14ac:dyDescent="0.25">
      <c r="A7" s="46" t="s">
        <v>661</v>
      </c>
    </row>
    <row r="8" spans="1:3" ht="15.75" x14ac:dyDescent="0.25">
      <c r="A8" s="46" t="s">
        <v>662</v>
      </c>
    </row>
    <row r="9" spans="1:3" ht="15.75" x14ac:dyDescent="0.25">
      <c r="A9" s="46" t="s">
        <v>621</v>
      </c>
    </row>
    <row r="10" spans="1:3" ht="15.75" x14ac:dyDescent="0.25">
      <c r="A10" s="46"/>
    </row>
    <row r="12" spans="1:3" ht="15.75" x14ac:dyDescent="0.25">
      <c r="A12" s="89" t="s">
        <v>655</v>
      </c>
      <c r="B12" s="87"/>
      <c r="C12" s="87"/>
    </row>
    <row r="13" spans="1:3" x14ac:dyDescent="0.2">
      <c r="A13" s="99" t="s">
        <v>652</v>
      </c>
      <c r="B13" s="99"/>
      <c r="C13" s="99"/>
    </row>
    <row r="14" spans="1:3" x14ac:dyDescent="0.2">
      <c r="A14" s="90"/>
      <c r="B14" s="87"/>
      <c r="C14" s="87"/>
    </row>
    <row r="15" spans="1:3" ht="68.25" customHeight="1" x14ac:dyDescent="0.2">
      <c r="A15" s="97" t="s">
        <v>656</v>
      </c>
      <c r="B15" s="97"/>
      <c r="C15" s="97"/>
    </row>
    <row r="16" spans="1:3" x14ac:dyDescent="0.2">
      <c r="A16" s="97"/>
      <c r="B16" s="97"/>
      <c r="C16" s="97"/>
    </row>
    <row r="17" spans="1:3" ht="15.75" thickBot="1" x14ac:dyDescent="0.3">
      <c r="A17" s="47" t="s">
        <v>608</v>
      </c>
      <c r="B17" s="48"/>
      <c r="C17" s="48"/>
    </row>
    <row r="18" spans="1:3" ht="15.75" thickBot="1" x14ac:dyDescent="0.3">
      <c r="A18" s="49" t="s">
        <v>609</v>
      </c>
      <c r="B18" s="50" t="s">
        <v>610</v>
      </c>
      <c r="C18" s="56" t="s">
        <v>619</v>
      </c>
    </row>
    <row r="19" spans="1:3" ht="15.75" thickBot="1" x14ac:dyDescent="0.3">
      <c r="A19" s="51">
        <v>43958</v>
      </c>
      <c r="B19" s="68">
        <v>1</v>
      </c>
      <c r="C19" s="53" t="s">
        <v>622</v>
      </c>
    </row>
    <row r="20" spans="1:3" ht="15.75" thickBot="1" x14ac:dyDescent="0.3">
      <c r="A20" s="51">
        <v>44095</v>
      </c>
      <c r="B20" s="52">
        <v>1.1000000000000001</v>
      </c>
      <c r="C20" s="58" t="s">
        <v>623</v>
      </c>
    </row>
    <row r="21" spans="1:3" ht="225.75" thickBot="1" x14ac:dyDescent="0.25">
      <c r="A21" s="78">
        <v>44351</v>
      </c>
      <c r="B21" s="64">
        <v>2</v>
      </c>
      <c r="C21" s="77" t="s">
        <v>628</v>
      </c>
    </row>
    <row r="22" spans="1:3" ht="195.75" thickBot="1" x14ac:dyDescent="0.25">
      <c r="A22" s="69">
        <v>44715</v>
      </c>
      <c r="B22" s="86">
        <v>3</v>
      </c>
      <c r="C22" s="92" t="s">
        <v>663</v>
      </c>
    </row>
  </sheetData>
  <mergeCells count="4">
    <mergeCell ref="A16:C16"/>
    <mergeCell ref="A6:C6"/>
    <mergeCell ref="A13:C13"/>
    <mergeCell ref="A15:C15"/>
  </mergeCells>
  <phoneticPr fontId="41"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Q280"/>
  <sheetViews>
    <sheetView topLeftCell="B1" zoomScaleNormal="100" workbookViewId="0">
      <pane ySplit="1" topLeftCell="A2" activePane="bottomLeft" state="frozen"/>
      <selection pane="bottomLeft" activeCell="C2" sqref="C2:I2"/>
    </sheetView>
  </sheetViews>
  <sheetFormatPr defaultColWidth="6.59765625" defaultRowHeight="15" customHeight="1" x14ac:dyDescent="0.2"/>
  <cols>
    <col min="1" max="1" width="8.69921875" style="2" customWidth="1"/>
    <col min="2" max="2" width="55.19921875" style="1" bestFit="1" customWidth="1"/>
    <col min="3" max="3" width="19.8984375" style="6" customWidth="1"/>
    <col min="4" max="4" width="17.69921875" style="6" customWidth="1"/>
    <col min="5" max="5" width="18.8984375" style="6" customWidth="1"/>
    <col min="6" max="6" width="24.69921875" style="7" customWidth="1"/>
    <col min="7" max="7" width="27.8984375" style="8" bestFit="1" customWidth="1"/>
    <col min="8" max="8" width="15.09765625" style="31" bestFit="1" customWidth="1"/>
    <col min="9" max="9" width="18.5" style="31" customWidth="1"/>
    <col min="10" max="173" width="6.59765625" style="1" customWidth="1"/>
    <col min="174" max="16384" width="6.59765625" style="2"/>
  </cols>
  <sheetData>
    <row r="1" spans="1:9" ht="62.25" customHeight="1" x14ac:dyDescent="0.2">
      <c r="A1" s="120" t="s">
        <v>658</v>
      </c>
      <c r="B1" s="120"/>
      <c r="C1" s="120"/>
      <c r="D1" s="120"/>
      <c r="E1" s="120"/>
      <c r="F1" s="120"/>
      <c r="G1" s="93" t="s">
        <v>664</v>
      </c>
      <c r="H1" s="88" t="s">
        <v>672</v>
      </c>
      <c r="I1" s="30"/>
    </row>
    <row r="2" spans="1:9" ht="29.1" customHeight="1" x14ac:dyDescent="0.2">
      <c r="A2" s="118" t="s">
        <v>616</v>
      </c>
      <c r="B2" s="119"/>
      <c r="C2" s="126" t="s">
        <v>0</v>
      </c>
      <c r="D2" s="127"/>
      <c r="E2" s="127"/>
      <c r="F2" s="127"/>
      <c r="G2" s="127"/>
      <c r="H2" s="127"/>
      <c r="I2" s="128"/>
    </row>
    <row r="3" spans="1:9" ht="36" customHeight="1" x14ac:dyDescent="0.2">
      <c r="A3" s="132" t="s">
        <v>1</v>
      </c>
      <c r="B3" s="133"/>
      <c r="C3" s="133"/>
      <c r="D3" s="133"/>
      <c r="E3" s="133"/>
      <c r="F3" s="133"/>
      <c r="G3" s="133"/>
      <c r="H3" s="133"/>
      <c r="I3" s="134"/>
    </row>
    <row r="4" spans="1:9" ht="171" customHeight="1" x14ac:dyDescent="0.2">
      <c r="A4" s="129" t="s">
        <v>657</v>
      </c>
      <c r="B4" s="130"/>
      <c r="C4" s="130"/>
      <c r="D4" s="130"/>
      <c r="E4" s="130"/>
      <c r="F4" s="130"/>
      <c r="G4" s="130"/>
      <c r="H4" s="130"/>
      <c r="I4" s="131"/>
    </row>
    <row r="5" spans="1:9" ht="24" customHeight="1" x14ac:dyDescent="0.2">
      <c r="A5" s="123" t="s">
        <v>587</v>
      </c>
      <c r="B5" s="124"/>
      <c r="C5" s="124"/>
      <c r="D5" s="124"/>
      <c r="E5" s="124"/>
      <c r="F5" s="124"/>
      <c r="G5" s="124"/>
      <c r="H5" s="124"/>
      <c r="I5" s="125"/>
    </row>
    <row r="6" spans="1:9" ht="17.25" customHeight="1" x14ac:dyDescent="0.2">
      <c r="A6" s="22" t="s">
        <v>2</v>
      </c>
      <c r="B6" s="36" t="s">
        <v>590</v>
      </c>
      <c r="C6" s="110" t="s">
        <v>590</v>
      </c>
      <c r="D6" s="111"/>
      <c r="E6" s="111"/>
      <c r="F6" s="111"/>
      <c r="G6" s="111"/>
      <c r="H6" s="111"/>
      <c r="I6" s="112"/>
    </row>
    <row r="7" spans="1:9" ht="22.35" customHeight="1" x14ac:dyDescent="0.2">
      <c r="A7" s="22" t="s">
        <v>3</v>
      </c>
      <c r="B7" s="36" t="s">
        <v>591</v>
      </c>
      <c r="C7" s="110" t="s">
        <v>592</v>
      </c>
      <c r="D7" s="111"/>
      <c r="E7" s="111"/>
      <c r="F7" s="111"/>
      <c r="G7" s="111"/>
      <c r="H7" s="111"/>
      <c r="I7" s="112"/>
    </row>
    <row r="8" spans="1:9" ht="22.35" customHeight="1" x14ac:dyDescent="0.2">
      <c r="A8" s="22" t="s">
        <v>4</v>
      </c>
      <c r="B8" s="36" t="s">
        <v>386</v>
      </c>
      <c r="C8" s="100" t="s">
        <v>386</v>
      </c>
      <c r="D8" s="116"/>
      <c r="E8" s="116"/>
      <c r="F8" s="116"/>
      <c r="G8" s="116"/>
      <c r="H8" s="116"/>
      <c r="I8" s="117"/>
    </row>
    <row r="9" spans="1:9" ht="22.35" customHeight="1" x14ac:dyDescent="0.2">
      <c r="A9" s="22" t="s">
        <v>5</v>
      </c>
      <c r="B9" s="36" t="s">
        <v>387</v>
      </c>
      <c r="C9" s="100" t="s">
        <v>387</v>
      </c>
      <c r="D9" s="101"/>
      <c r="E9" s="101"/>
      <c r="F9" s="101"/>
      <c r="G9" s="101"/>
      <c r="H9" s="101"/>
      <c r="I9" s="102"/>
    </row>
    <row r="10" spans="1:9" ht="22.35" customHeight="1" x14ac:dyDescent="0.2">
      <c r="A10" s="22" t="s">
        <v>7</v>
      </c>
      <c r="B10" s="36" t="s">
        <v>388</v>
      </c>
      <c r="C10" s="100" t="s">
        <v>388</v>
      </c>
      <c r="D10" s="101"/>
      <c r="E10" s="101"/>
      <c r="F10" s="101"/>
      <c r="G10" s="101"/>
      <c r="H10" s="101"/>
      <c r="I10" s="102"/>
    </row>
    <row r="11" spans="1:9" ht="22.35" customHeight="1" x14ac:dyDescent="0.2">
      <c r="A11" s="22" t="s">
        <v>8</v>
      </c>
      <c r="B11" s="36" t="s">
        <v>389</v>
      </c>
      <c r="C11" s="100" t="s">
        <v>389</v>
      </c>
      <c r="D11" s="101"/>
      <c r="E11" s="101"/>
      <c r="F11" s="101"/>
      <c r="G11" s="101"/>
      <c r="H11" s="101"/>
      <c r="I11" s="102"/>
    </row>
    <row r="12" spans="1:9" ht="22.35" customHeight="1" x14ac:dyDescent="0.2">
      <c r="A12" s="22" t="s">
        <v>9</v>
      </c>
      <c r="B12" s="36" t="s">
        <v>135</v>
      </c>
      <c r="C12" s="100" t="s">
        <v>136</v>
      </c>
      <c r="D12" s="101"/>
      <c r="E12" s="101"/>
      <c r="F12" s="101"/>
      <c r="G12" s="101"/>
      <c r="H12" s="101"/>
      <c r="I12" s="102"/>
    </row>
    <row r="13" spans="1:9" ht="22.35" customHeight="1" x14ac:dyDescent="0.2">
      <c r="A13" s="22" t="s">
        <v>10</v>
      </c>
      <c r="B13" s="36" t="s">
        <v>137</v>
      </c>
      <c r="C13" s="100" t="s">
        <v>138</v>
      </c>
      <c r="D13" s="101"/>
      <c r="E13" s="101"/>
      <c r="F13" s="101"/>
      <c r="G13" s="101"/>
      <c r="H13" s="101"/>
      <c r="I13" s="102"/>
    </row>
    <row r="14" spans="1:9" ht="22.35" customHeight="1" x14ac:dyDescent="0.2">
      <c r="A14" s="22" t="s">
        <v>12</v>
      </c>
      <c r="B14" s="36" t="s">
        <v>6</v>
      </c>
      <c r="C14" s="100" t="s">
        <v>588</v>
      </c>
      <c r="D14" s="101"/>
      <c r="E14" s="101"/>
      <c r="F14" s="101"/>
      <c r="G14" s="101"/>
      <c r="H14" s="101"/>
      <c r="I14" s="102"/>
    </row>
    <row r="15" spans="1:9" ht="22.35" customHeight="1" x14ac:dyDescent="0.2">
      <c r="A15" s="22" t="s">
        <v>13</v>
      </c>
      <c r="B15" s="36" t="s">
        <v>593</v>
      </c>
      <c r="C15" s="100" t="s">
        <v>149</v>
      </c>
      <c r="D15" s="101"/>
      <c r="E15" s="101"/>
      <c r="F15" s="101"/>
      <c r="G15" s="101"/>
      <c r="H15" s="101"/>
      <c r="I15" s="102"/>
    </row>
    <row r="16" spans="1:9" ht="22.35" customHeight="1" x14ac:dyDescent="0.2">
      <c r="A16" s="22" t="s">
        <v>14</v>
      </c>
      <c r="B16" s="36" t="s">
        <v>594</v>
      </c>
      <c r="C16" s="100" t="s">
        <v>146</v>
      </c>
      <c r="D16" s="101"/>
      <c r="E16" s="101"/>
      <c r="F16" s="101"/>
      <c r="G16" s="101"/>
      <c r="H16" s="101"/>
      <c r="I16" s="102"/>
    </row>
    <row r="17" spans="1:9" ht="31.5" customHeight="1" x14ac:dyDescent="0.2">
      <c r="A17" s="22" t="s">
        <v>15</v>
      </c>
      <c r="B17" s="36" t="s">
        <v>390</v>
      </c>
      <c r="C17" s="100" t="s">
        <v>391</v>
      </c>
      <c r="D17" s="101"/>
      <c r="E17" s="101"/>
      <c r="F17" s="101"/>
      <c r="G17" s="101"/>
      <c r="H17" s="101"/>
      <c r="I17" s="102"/>
    </row>
    <row r="18" spans="1:9" ht="22.35" customHeight="1" x14ac:dyDescent="0.2">
      <c r="A18" s="79" t="s">
        <v>96</v>
      </c>
      <c r="B18" s="80" t="s">
        <v>145</v>
      </c>
      <c r="C18" s="113" t="s">
        <v>149</v>
      </c>
      <c r="D18" s="114"/>
      <c r="E18" s="114"/>
      <c r="F18" s="114"/>
      <c r="G18" s="114"/>
      <c r="H18" s="114"/>
      <c r="I18" s="115"/>
    </row>
    <row r="19" spans="1:9" ht="22.35" customHeight="1" x14ac:dyDescent="0.2">
      <c r="A19" s="22" t="s">
        <v>392</v>
      </c>
      <c r="B19" s="36" t="s">
        <v>595</v>
      </c>
      <c r="C19" s="100" t="s">
        <v>596</v>
      </c>
      <c r="D19" s="101"/>
      <c r="E19" s="101"/>
      <c r="F19" s="101"/>
      <c r="G19" s="101"/>
      <c r="H19" s="101"/>
      <c r="I19" s="102"/>
    </row>
    <row r="20" spans="1:9" ht="22.35" customHeight="1" x14ac:dyDescent="0.2">
      <c r="A20" s="22" t="s">
        <v>393</v>
      </c>
      <c r="B20" s="36" t="s">
        <v>597</v>
      </c>
      <c r="C20" s="100" t="s">
        <v>597</v>
      </c>
      <c r="D20" s="101"/>
      <c r="E20" s="101"/>
      <c r="F20" s="101"/>
      <c r="G20" s="101"/>
      <c r="H20" s="101"/>
      <c r="I20" s="102"/>
    </row>
    <row r="21" spans="1:9" ht="22.35" customHeight="1" x14ac:dyDescent="0.2">
      <c r="A21" s="22" t="s">
        <v>394</v>
      </c>
      <c r="B21" s="36" t="s">
        <v>598</v>
      </c>
      <c r="C21" s="100" t="s">
        <v>599</v>
      </c>
      <c r="D21" s="101"/>
      <c r="E21" s="101"/>
      <c r="F21" s="101"/>
      <c r="G21" s="101"/>
      <c r="H21" s="101"/>
      <c r="I21" s="102"/>
    </row>
    <row r="22" spans="1:9" ht="22.35" customHeight="1" x14ac:dyDescent="0.2">
      <c r="A22" s="22" t="s">
        <v>395</v>
      </c>
      <c r="B22" s="36" t="s">
        <v>600</v>
      </c>
      <c r="C22" s="110" t="s">
        <v>600</v>
      </c>
      <c r="D22" s="111"/>
      <c r="E22" s="111"/>
      <c r="F22" s="111"/>
      <c r="G22" s="111"/>
      <c r="H22" s="111"/>
      <c r="I22" s="112"/>
    </row>
    <row r="23" spans="1:9" ht="22.35" customHeight="1" x14ac:dyDescent="0.2">
      <c r="A23" s="22" t="s">
        <v>396</v>
      </c>
      <c r="B23" s="36" t="s">
        <v>601</v>
      </c>
      <c r="C23" s="110" t="s">
        <v>601</v>
      </c>
      <c r="D23" s="111"/>
      <c r="E23" s="111"/>
      <c r="F23" s="111"/>
      <c r="G23" s="111"/>
      <c r="H23" s="111"/>
      <c r="I23" s="112"/>
    </row>
    <row r="24" spans="1:9" ht="22.35" customHeight="1" x14ac:dyDescent="0.2">
      <c r="A24" s="22" t="s">
        <v>397</v>
      </c>
      <c r="B24" s="36" t="s">
        <v>602</v>
      </c>
      <c r="C24" s="110" t="s">
        <v>603</v>
      </c>
      <c r="D24" s="111"/>
      <c r="E24" s="111"/>
      <c r="F24" s="111"/>
      <c r="G24" s="111"/>
      <c r="H24" s="111"/>
      <c r="I24" s="112"/>
    </row>
    <row r="25" spans="1:9" ht="22.35" customHeight="1" x14ac:dyDescent="0.2">
      <c r="A25" s="22" t="s">
        <v>398</v>
      </c>
      <c r="B25" s="36" t="s">
        <v>604</v>
      </c>
      <c r="C25" s="110" t="s">
        <v>11</v>
      </c>
      <c r="D25" s="111"/>
      <c r="E25" s="111"/>
      <c r="F25" s="111"/>
      <c r="G25" s="111"/>
      <c r="H25" s="111"/>
      <c r="I25" s="112"/>
    </row>
    <row r="26" spans="1:9" s="1" customFormat="1" ht="22.35" customHeight="1" x14ac:dyDescent="0.2">
      <c r="A26" s="123" t="s">
        <v>649</v>
      </c>
      <c r="B26" s="124"/>
      <c r="C26" s="124"/>
      <c r="D26" s="124"/>
      <c r="E26" s="124"/>
      <c r="F26" s="124"/>
      <c r="G26" s="124"/>
      <c r="H26" s="124"/>
      <c r="I26" s="125"/>
    </row>
    <row r="27" spans="1:9" s="1" customFormat="1" ht="22.35" customHeight="1" x14ac:dyDescent="0.2">
      <c r="A27" s="121" t="s">
        <v>105</v>
      </c>
      <c r="B27" s="121"/>
      <c r="C27" s="121"/>
      <c r="D27" s="121"/>
      <c r="E27" s="121"/>
      <c r="F27" s="121"/>
      <c r="G27" s="121"/>
      <c r="H27" s="32"/>
      <c r="I27" s="33"/>
    </row>
    <row r="28" spans="1:9" s="1" customFormat="1" ht="20.100000000000001" customHeight="1" x14ac:dyDescent="0.2">
      <c r="A28" s="10"/>
      <c r="B28" s="11" t="s">
        <v>99</v>
      </c>
      <c r="C28" s="11"/>
      <c r="D28" s="11"/>
      <c r="E28" s="11"/>
      <c r="F28" s="11"/>
      <c r="G28" s="28"/>
      <c r="H28" s="28"/>
      <c r="I28" s="29"/>
    </row>
    <row r="29" spans="1:9" s="1" customFormat="1" ht="20.100000000000001" customHeight="1" x14ac:dyDescent="0.2">
      <c r="A29" s="10"/>
      <c r="B29" s="11" t="s">
        <v>100</v>
      </c>
      <c r="C29" s="11"/>
      <c r="D29" s="11"/>
      <c r="E29" s="11"/>
      <c r="F29" s="11"/>
      <c r="G29" s="28"/>
      <c r="H29" s="28"/>
      <c r="I29" s="29"/>
    </row>
    <row r="30" spans="1:9" s="1" customFormat="1" ht="20.100000000000001" customHeight="1" x14ac:dyDescent="0.2">
      <c r="A30" s="10"/>
      <c r="B30" s="11" t="s">
        <v>101</v>
      </c>
      <c r="C30" s="11"/>
      <c r="D30" s="11"/>
      <c r="E30" s="11"/>
      <c r="F30" s="11"/>
      <c r="G30" s="28"/>
      <c r="H30" s="28"/>
      <c r="I30" s="29"/>
    </row>
    <row r="31" spans="1:9" s="1" customFormat="1" ht="20.100000000000001" customHeight="1" x14ac:dyDescent="0.2">
      <c r="A31" s="10"/>
      <c r="B31" s="66" t="s">
        <v>626</v>
      </c>
      <c r="C31" s="11"/>
      <c r="D31" s="11"/>
      <c r="E31" s="11"/>
      <c r="F31" s="11"/>
      <c r="G31" s="28"/>
      <c r="H31" s="28"/>
      <c r="I31" s="29"/>
    </row>
    <row r="32" spans="1:9" s="1" customFormat="1" ht="20.100000000000001" customHeight="1" x14ac:dyDescent="0.2">
      <c r="A32" s="10"/>
      <c r="B32" s="66" t="s">
        <v>624</v>
      </c>
      <c r="C32" s="57"/>
      <c r="D32" s="57"/>
      <c r="E32" s="57"/>
      <c r="F32" s="57"/>
      <c r="G32" s="57"/>
      <c r="H32" s="57"/>
      <c r="I32" s="29"/>
    </row>
    <row r="33" spans="1:9" s="1" customFormat="1" ht="20.100000000000001" customHeight="1" x14ac:dyDescent="0.2">
      <c r="A33" s="10"/>
      <c r="B33" s="11" t="s">
        <v>635</v>
      </c>
      <c r="C33" s="11"/>
      <c r="D33" s="11"/>
      <c r="E33" s="11"/>
      <c r="F33" s="11"/>
      <c r="G33" s="28"/>
      <c r="H33" s="28"/>
      <c r="I33" s="29"/>
    </row>
    <row r="34" spans="1:9" s="1" customFormat="1" ht="20.100000000000001" customHeight="1" x14ac:dyDescent="0.2">
      <c r="A34" s="10"/>
      <c r="B34" s="11" t="s">
        <v>505</v>
      </c>
      <c r="C34" s="11"/>
      <c r="D34" s="11"/>
      <c r="E34" s="11"/>
      <c r="F34" s="11"/>
      <c r="G34" s="28"/>
      <c r="H34" s="28"/>
      <c r="I34" s="29"/>
    </row>
    <row r="35" spans="1:9" s="1" customFormat="1" ht="20.100000000000001" customHeight="1" x14ac:dyDescent="0.2">
      <c r="A35" s="10"/>
      <c r="B35" s="11" t="s">
        <v>102</v>
      </c>
      <c r="C35" s="11"/>
      <c r="D35" s="11"/>
      <c r="E35" s="11"/>
      <c r="F35" s="11"/>
      <c r="G35" s="28"/>
      <c r="H35" s="28"/>
      <c r="I35" s="29"/>
    </row>
    <row r="36" spans="1:9" s="1" customFormat="1" ht="20.100000000000001" customHeight="1" x14ac:dyDescent="0.2">
      <c r="A36" s="10"/>
      <c r="B36" s="11" t="s">
        <v>103</v>
      </c>
      <c r="C36" s="11"/>
      <c r="D36" s="11"/>
      <c r="E36" s="11"/>
      <c r="F36" s="11"/>
      <c r="G36" s="28"/>
      <c r="H36" s="28"/>
      <c r="I36" s="29"/>
    </row>
    <row r="37" spans="1:9" s="1" customFormat="1" ht="20.100000000000001" customHeight="1" x14ac:dyDescent="0.2">
      <c r="A37" s="10"/>
      <c r="B37" s="11" t="s">
        <v>104</v>
      </c>
      <c r="C37" s="11"/>
      <c r="D37" s="11"/>
      <c r="E37" s="11"/>
      <c r="F37" s="11"/>
      <c r="G37" s="28"/>
      <c r="H37" s="28"/>
      <c r="I37" s="29"/>
    </row>
    <row r="38" spans="1:9" s="1" customFormat="1" ht="20.100000000000001" customHeight="1" x14ac:dyDescent="0.2">
      <c r="A38" s="10"/>
      <c r="B38" s="11" t="s">
        <v>506</v>
      </c>
      <c r="C38" s="11"/>
      <c r="D38" s="11"/>
      <c r="E38" s="11"/>
      <c r="F38" s="11"/>
      <c r="G38" s="28"/>
      <c r="H38" s="28"/>
      <c r="I38" s="29"/>
    </row>
    <row r="39" spans="1:9" s="1" customFormat="1" ht="20.100000000000001" customHeight="1" x14ac:dyDescent="0.2">
      <c r="A39" s="10"/>
      <c r="B39" s="122" t="s">
        <v>620</v>
      </c>
      <c r="C39" s="122"/>
      <c r="D39" s="122"/>
      <c r="E39" s="122"/>
      <c r="F39" s="122"/>
      <c r="G39" s="122"/>
      <c r="H39" s="28"/>
      <c r="I39" s="29"/>
    </row>
    <row r="40" spans="1:9" s="1" customFormat="1" ht="75" customHeight="1" x14ac:dyDescent="0.2">
      <c r="A40" s="10"/>
      <c r="B40" s="12" t="s">
        <v>507</v>
      </c>
      <c r="C40" s="135"/>
      <c r="D40" s="135"/>
      <c r="E40" s="135"/>
      <c r="F40" s="135"/>
      <c r="G40" s="135"/>
      <c r="H40" s="135"/>
      <c r="I40" s="135"/>
    </row>
    <row r="41" spans="1:9" s="1" customFormat="1" ht="42" customHeight="1" x14ac:dyDescent="0.2">
      <c r="A41" s="10"/>
      <c r="B41" s="12" t="s">
        <v>124</v>
      </c>
      <c r="C41" s="135"/>
      <c r="D41" s="135"/>
      <c r="E41" s="135"/>
      <c r="F41" s="135"/>
      <c r="G41" s="135"/>
      <c r="H41" s="135"/>
      <c r="I41" s="135"/>
    </row>
    <row r="42" spans="1:9" s="1" customFormat="1" ht="36" customHeight="1" x14ac:dyDescent="0.2">
      <c r="A42" s="132" t="s">
        <v>16</v>
      </c>
      <c r="B42" s="133"/>
      <c r="C42" s="133"/>
      <c r="D42" s="133"/>
      <c r="E42" s="133"/>
      <c r="F42" s="133"/>
      <c r="G42" s="133"/>
      <c r="H42" s="133"/>
      <c r="I42" s="134"/>
    </row>
    <row r="43" spans="1:9" s="1" customFormat="1" ht="255" customHeight="1" x14ac:dyDescent="0.2">
      <c r="A43" s="107" t="s">
        <v>659</v>
      </c>
      <c r="B43" s="108"/>
      <c r="C43" s="108"/>
      <c r="D43" s="108"/>
      <c r="E43" s="108"/>
      <c r="F43" s="108"/>
      <c r="G43" s="108"/>
      <c r="H43" s="108"/>
      <c r="I43" s="109"/>
    </row>
    <row r="44" spans="1:9" s="1" customFormat="1" ht="54" x14ac:dyDescent="0.2">
      <c r="A44" s="104" t="s">
        <v>19</v>
      </c>
      <c r="B44" s="104"/>
      <c r="C44" s="3" t="s">
        <v>605</v>
      </c>
      <c r="D44" s="3" t="s">
        <v>606</v>
      </c>
      <c r="E44" s="3" t="s">
        <v>108</v>
      </c>
      <c r="F44" s="3" t="s">
        <v>17</v>
      </c>
      <c r="G44" s="3" t="s">
        <v>18</v>
      </c>
      <c r="H44" s="3" t="s">
        <v>371</v>
      </c>
      <c r="I44" s="3" t="s">
        <v>399</v>
      </c>
    </row>
    <row r="45" spans="1:9" s="1" customFormat="1" ht="114" customHeight="1" x14ac:dyDescent="0.2">
      <c r="A45" s="9" t="s">
        <v>175</v>
      </c>
      <c r="B45" s="16" t="s">
        <v>309</v>
      </c>
      <c r="C45" s="105"/>
      <c r="D45" s="106"/>
      <c r="E45" s="106"/>
      <c r="F45" s="17"/>
      <c r="G45" s="59" t="s">
        <v>400</v>
      </c>
      <c r="H45" s="37">
        <v>22</v>
      </c>
      <c r="I45" s="38" t="s">
        <v>401</v>
      </c>
    </row>
    <row r="46" spans="1:9" s="1" customFormat="1" ht="54" customHeight="1" x14ac:dyDescent="0.2">
      <c r="A46" s="9" t="s">
        <v>22</v>
      </c>
      <c r="B46" s="39" t="s">
        <v>20</v>
      </c>
      <c r="C46" s="103"/>
      <c r="D46" s="103"/>
      <c r="E46" s="103"/>
      <c r="F46" s="103"/>
      <c r="G46" s="59" t="s">
        <v>21</v>
      </c>
      <c r="H46" s="37"/>
      <c r="I46" s="38"/>
    </row>
    <row r="47" spans="1:9" s="1" customFormat="1" ht="54" customHeight="1" x14ac:dyDescent="0.2">
      <c r="A47" s="9" t="s">
        <v>25</v>
      </c>
      <c r="B47" s="39" t="s">
        <v>402</v>
      </c>
      <c r="C47" s="103"/>
      <c r="D47" s="103"/>
      <c r="E47" s="103"/>
      <c r="F47" s="103"/>
      <c r="G47" s="59" t="s">
        <v>21</v>
      </c>
      <c r="H47" s="37"/>
      <c r="I47" s="38"/>
    </row>
    <row r="48" spans="1:9" s="1" customFormat="1" ht="54" customHeight="1" x14ac:dyDescent="0.2">
      <c r="A48" s="9" t="s">
        <v>26</v>
      </c>
      <c r="B48" s="39" t="s">
        <v>23</v>
      </c>
      <c r="C48" s="103"/>
      <c r="D48" s="103"/>
      <c r="E48" s="103"/>
      <c r="F48" s="103"/>
      <c r="G48" s="59" t="s">
        <v>24</v>
      </c>
      <c r="H48" s="37"/>
      <c r="I48" s="38"/>
    </row>
    <row r="49" spans="1:172" s="1" customFormat="1" ht="54" customHeight="1" x14ac:dyDescent="0.2">
      <c r="A49" s="9" t="s">
        <v>27</v>
      </c>
      <c r="B49" s="39" t="s">
        <v>518</v>
      </c>
      <c r="C49" s="54"/>
      <c r="D49" s="54"/>
      <c r="E49" s="54"/>
      <c r="F49" s="34"/>
      <c r="G49" s="59"/>
      <c r="H49" s="42">
        <v>61</v>
      </c>
      <c r="I49" s="38"/>
    </row>
    <row r="50" spans="1:172" s="1" customFormat="1" ht="57" x14ac:dyDescent="0.2">
      <c r="A50" s="9" t="s">
        <v>28</v>
      </c>
      <c r="B50" s="39" t="s">
        <v>519</v>
      </c>
      <c r="C50" s="54"/>
      <c r="D50" s="54"/>
      <c r="E50" s="54"/>
      <c r="F50" s="34"/>
      <c r="G50" s="59"/>
      <c r="H50" s="42">
        <v>62</v>
      </c>
      <c r="I50" s="38"/>
    </row>
    <row r="51" spans="1:172" s="1" customFormat="1" ht="54" customHeight="1" x14ac:dyDescent="0.2">
      <c r="A51" s="9" t="s">
        <v>29</v>
      </c>
      <c r="B51" s="39" t="s">
        <v>520</v>
      </c>
      <c r="C51" s="54"/>
      <c r="D51" s="54"/>
      <c r="E51" s="54"/>
      <c r="F51" s="34"/>
      <c r="G51" s="59"/>
      <c r="H51" s="42">
        <v>63</v>
      </c>
      <c r="I51" s="38"/>
    </row>
    <row r="52" spans="1:172" s="1" customFormat="1" ht="54" customHeight="1" x14ac:dyDescent="0.2">
      <c r="A52" s="9" t="s">
        <v>308</v>
      </c>
      <c r="B52" s="39" t="s">
        <v>97</v>
      </c>
      <c r="C52" s="34"/>
      <c r="D52" s="34"/>
      <c r="E52" s="34"/>
      <c r="F52" s="34"/>
      <c r="G52" s="60" t="str">
        <f>IF(C52="","",IF(C52="Yes","Provide a list of utility references, with contact information.","State your primary industry. Please provide appropriate references."))</f>
        <v/>
      </c>
      <c r="H52" s="37"/>
      <c r="I52" s="38"/>
    </row>
    <row r="53" spans="1:172" s="1" customFormat="1" ht="64.349999999999994" customHeight="1" x14ac:dyDescent="0.2">
      <c r="A53" s="9" t="s">
        <v>403</v>
      </c>
      <c r="B53" s="39" t="s">
        <v>521</v>
      </c>
      <c r="C53" s="34"/>
      <c r="D53" s="34"/>
      <c r="E53" s="34"/>
      <c r="F53" s="13"/>
      <c r="G53" s="59" t="str">
        <f>IF(C53="","",IF(C53="Yes","Provide a detailed summary of the breach and actions taken to mitigate identified vulnerabilities.",""))</f>
        <v/>
      </c>
      <c r="H53" s="40">
        <v>34</v>
      </c>
      <c r="I53" s="40" t="s">
        <v>404</v>
      </c>
    </row>
    <row r="54" spans="1:172" s="1" customFormat="1" ht="64.349999999999994" customHeight="1" x14ac:dyDescent="0.2">
      <c r="A54" s="9" t="s">
        <v>405</v>
      </c>
      <c r="B54" s="39" t="s">
        <v>406</v>
      </c>
      <c r="C54" s="34"/>
      <c r="D54" s="34"/>
      <c r="E54" s="34"/>
      <c r="F54" s="13"/>
      <c r="G54" s="59"/>
      <c r="H54" s="37"/>
      <c r="I54" s="38"/>
    </row>
    <row r="55" spans="1:172" s="1" customFormat="1" ht="78.75" customHeight="1" x14ac:dyDescent="0.2">
      <c r="A55" s="9" t="s">
        <v>407</v>
      </c>
      <c r="B55" s="39" t="s">
        <v>522</v>
      </c>
      <c r="C55" s="34"/>
      <c r="D55" s="34"/>
      <c r="E55" s="34"/>
      <c r="F55" s="13"/>
      <c r="G55" s="59"/>
      <c r="H55" s="37"/>
      <c r="I55" s="38"/>
    </row>
    <row r="56" spans="1:172" s="1" customFormat="1" ht="42.75" x14ac:dyDescent="0.2">
      <c r="A56" s="9" t="s">
        <v>408</v>
      </c>
      <c r="B56" s="39" t="s">
        <v>409</v>
      </c>
      <c r="C56" s="34"/>
      <c r="D56" s="34"/>
      <c r="E56" s="34"/>
      <c r="F56" s="13"/>
      <c r="G56" s="59"/>
      <c r="H56" s="37"/>
      <c r="I56" s="38"/>
    </row>
    <row r="57" spans="1:172" s="1" customFormat="1" ht="28.5" x14ac:dyDescent="0.2">
      <c r="A57" s="9" t="s">
        <v>410</v>
      </c>
      <c r="B57" s="39" t="s">
        <v>523</v>
      </c>
      <c r="C57" s="34"/>
      <c r="D57" s="34"/>
      <c r="E57" s="34"/>
      <c r="F57" s="34"/>
      <c r="G57" s="59" t="str">
        <f>IF(C57="","",IF(C57="Yes","Describe your Information Security Office, including size, talents, resources, etc.","Describe any plans to create an Information Security Office for your organization."))</f>
        <v/>
      </c>
      <c r="H57" s="37"/>
      <c r="I57" s="38"/>
    </row>
    <row r="58" spans="1:172" s="1" customFormat="1" ht="42.75" x14ac:dyDescent="0.2">
      <c r="A58" s="9" t="s">
        <v>411</v>
      </c>
      <c r="B58" s="39" t="s">
        <v>524</v>
      </c>
      <c r="C58" s="34"/>
      <c r="D58" s="34"/>
      <c r="E58" s="34"/>
      <c r="F58" s="13"/>
      <c r="G58" s="59" t="str">
        <f>IF(C58="","",IF(C58="Yes","Describe the structure and size of your Software and System Development teams (e.g. Customer Support, Implementation, Product Management, etc.)","Describe your current teams/organizational structure, as well as any plans to create dedicated teams."))</f>
        <v/>
      </c>
      <c r="H58" s="37"/>
      <c r="I58" s="38"/>
    </row>
    <row r="59" spans="1:172" s="1" customFormat="1" ht="42.75" x14ac:dyDescent="0.2">
      <c r="A59" s="9" t="s">
        <v>412</v>
      </c>
      <c r="B59" s="39" t="s">
        <v>270</v>
      </c>
      <c r="C59" s="103"/>
      <c r="D59" s="103"/>
      <c r="E59" s="103"/>
      <c r="F59" s="103"/>
      <c r="G59" s="59" t="s">
        <v>266</v>
      </c>
      <c r="H59" s="37"/>
      <c r="I59" s="38"/>
    </row>
    <row r="60" spans="1:172" s="1" customFormat="1" ht="60.75" customHeight="1" x14ac:dyDescent="0.2">
      <c r="A60" s="104" t="s">
        <v>158</v>
      </c>
      <c r="B60" s="104"/>
      <c r="C60" s="3" t="s">
        <v>605</v>
      </c>
      <c r="D60" s="3" t="s">
        <v>606</v>
      </c>
      <c r="E60" s="3" t="s">
        <v>108</v>
      </c>
      <c r="F60" s="3" t="s">
        <v>17</v>
      </c>
      <c r="G60" s="3" t="s">
        <v>18</v>
      </c>
      <c r="H60" s="3" t="s">
        <v>371</v>
      </c>
      <c r="I60" s="3" t="s">
        <v>399</v>
      </c>
    </row>
    <row r="61" spans="1:172" s="1" customFormat="1" ht="96" customHeight="1" x14ac:dyDescent="0.2">
      <c r="A61" s="9" t="s">
        <v>30</v>
      </c>
      <c r="B61" s="16" t="s">
        <v>526</v>
      </c>
      <c r="C61" s="144"/>
      <c r="D61" s="144"/>
      <c r="E61" s="144"/>
      <c r="F61" s="144"/>
      <c r="G61" s="59" t="s">
        <v>31</v>
      </c>
      <c r="H61" s="37"/>
      <c r="I61" s="38" t="s">
        <v>413</v>
      </c>
    </row>
    <row r="62" spans="1:172" customFormat="1" ht="80.099999999999994" customHeight="1" x14ac:dyDescent="0.2">
      <c r="A62" s="9" t="s">
        <v>32</v>
      </c>
      <c r="B62" s="16" t="s">
        <v>525</v>
      </c>
      <c r="C62" s="144"/>
      <c r="D62" s="144"/>
      <c r="E62" s="144"/>
      <c r="F62" s="144"/>
      <c r="G62" s="59" t="s">
        <v>589</v>
      </c>
      <c r="H62" s="37"/>
      <c r="I62" s="38"/>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row>
    <row r="63" spans="1:172" customFormat="1" ht="80.099999999999994" customHeight="1" x14ac:dyDescent="0.2">
      <c r="A63" s="9" t="s">
        <v>174</v>
      </c>
      <c r="B63" s="16" t="s">
        <v>527</v>
      </c>
      <c r="C63" s="144"/>
      <c r="D63" s="144"/>
      <c r="E63" s="144"/>
      <c r="F63" s="144"/>
      <c r="G63" s="61"/>
      <c r="H63" s="37"/>
      <c r="I63" s="38" t="s">
        <v>414</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row>
    <row r="64" spans="1:172" customFormat="1" ht="80.099999999999994" customHeight="1" x14ac:dyDescent="0.2">
      <c r="A64" s="9" t="s">
        <v>34</v>
      </c>
      <c r="B64" s="16" t="s">
        <v>508</v>
      </c>
      <c r="C64" s="34"/>
      <c r="D64" s="34"/>
      <c r="E64" s="34"/>
      <c r="F64" s="19"/>
      <c r="G64" s="61" t="str">
        <f>IF(C64="","",IF(C64="Yes","Please describe this program and how it is maintained.","Please describe how you ensure integrity in absence of a program that ensures storage security."))</f>
        <v/>
      </c>
      <c r="H64" s="37">
        <v>2</v>
      </c>
      <c r="I64" s="38" t="s">
        <v>415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row>
    <row r="65" spans="1:172" customFormat="1" ht="80.099999999999994" customHeight="1" x14ac:dyDescent="0.2">
      <c r="A65" s="9" t="s">
        <v>273</v>
      </c>
      <c r="B65" s="16" t="s">
        <v>361</v>
      </c>
      <c r="C65" s="34"/>
      <c r="D65" s="34"/>
      <c r="E65" s="34"/>
      <c r="F65" s="19"/>
      <c r="G65" s="61" t="str">
        <f>IF(C65="","",IF(C65="Yes","Please describe this process.","Please describe how the integrity of software is verified prior to use."))</f>
        <v/>
      </c>
      <c r="H65" s="37"/>
      <c r="I65" s="38" t="s">
        <v>416</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row>
    <row r="66" spans="1:172" customFormat="1" ht="80.099999999999994" customHeight="1" x14ac:dyDescent="0.2">
      <c r="A66" s="9" t="s">
        <v>281</v>
      </c>
      <c r="B66" s="16" t="s">
        <v>362</v>
      </c>
      <c r="C66" s="34"/>
      <c r="D66" s="34"/>
      <c r="E66" s="34"/>
      <c r="F66" s="19"/>
      <c r="G66" s="61" t="str">
        <f>IF(C66="","",IF(C66="Yes","Please describe this process.",""))</f>
        <v/>
      </c>
      <c r="H66" s="37"/>
      <c r="I66" s="38" t="s">
        <v>417</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row>
    <row r="67" spans="1:172" customFormat="1" ht="108" customHeight="1" x14ac:dyDescent="0.2">
      <c r="A67" s="9" t="s">
        <v>282</v>
      </c>
      <c r="B67" s="16" t="s">
        <v>509</v>
      </c>
      <c r="C67" s="34"/>
      <c r="D67" s="34"/>
      <c r="E67" s="34"/>
      <c r="F67" s="19"/>
      <c r="G67" s="61" t="str">
        <f>IF(C67="","",IF(C67="Yes","Please describe this process.",""))</f>
        <v/>
      </c>
      <c r="H67" s="37">
        <v>59</v>
      </c>
      <c r="I67" s="38" t="s">
        <v>418</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row>
    <row r="68" spans="1:172" customFormat="1" ht="80.099999999999994" customHeight="1" x14ac:dyDescent="0.2">
      <c r="A68" s="9" t="s">
        <v>283</v>
      </c>
      <c r="B68" s="16" t="s">
        <v>530</v>
      </c>
      <c r="C68" s="34"/>
      <c r="D68" s="34"/>
      <c r="E68" s="34"/>
      <c r="F68" s="19"/>
      <c r="G68" s="61" t="str">
        <f>IF(C68="","",IF(C68="Yes","Please describe or provide a reference to/copy of this policy.",""))</f>
        <v/>
      </c>
      <c r="H68" s="37">
        <v>48</v>
      </c>
      <c r="I68" s="38" t="s">
        <v>419</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row>
    <row r="69" spans="1:172" customFormat="1" ht="80.099999999999994" customHeight="1" x14ac:dyDescent="0.2">
      <c r="A69" s="9" t="s">
        <v>284</v>
      </c>
      <c r="B69" s="16" t="s">
        <v>637</v>
      </c>
      <c r="C69" s="34"/>
      <c r="D69" s="34"/>
      <c r="E69" s="34"/>
      <c r="F69" s="19"/>
      <c r="G69" s="61"/>
      <c r="H69" s="37">
        <v>23</v>
      </c>
      <c r="I69" s="38" t="s">
        <v>420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row>
    <row r="70" spans="1:172" customFormat="1" ht="80.099999999999994" customHeight="1" x14ac:dyDescent="0.2">
      <c r="A70" s="9" t="s">
        <v>285</v>
      </c>
      <c r="B70" s="16" t="s">
        <v>292</v>
      </c>
      <c r="C70" s="34"/>
      <c r="D70" s="34"/>
      <c r="E70" s="34"/>
      <c r="F70" s="19"/>
      <c r="G70" s="61" t="str">
        <f>IF(C70="","",IF(C70="Yes","Can this information be shared with the utility?",""))</f>
        <v/>
      </c>
      <c r="H70" s="37" t="s">
        <v>625</v>
      </c>
      <c r="I70" s="38" t="s">
        <v>421</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row>
    <row r="71" spans="1:172" customFormat="1" ht="80.099999999999994" customHeight="1" x14ac:dyDescent="0.2">
      <c r="A71" s="9" t="s">
        <v>290</v>
      </c>
      <c r="B71" s="16" t="s">
        <v>320</v>
      </c>
      <c r="C71" s="136"/>
      <c r="D71" s="137"/>
      <c r="E71" s="137"/>
      <c r="F71" s="19"/>
      <c r="G71" s="61" t="str">
        <f>IF(C71="","",IF(C71="Yes","Please descfibe this aspect of your program in adequate detail.",""))</f>
        <v/>
      </c>
      <c r="H71" s="37">
        <v>39</v>
      </c>
      <c r="I71" s="38" t="s">
        <v>422</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row>
    <row r="72" spans="1:172" customFormat="1" ht="85.5" x14ac:dyDescent="0.2">
      <c r="A72" s="9" t="s">
        <v>291</v>
      </c>
      <c r="B72" s="16" t="s">
        <v>531</v>
      </c>
      <c r="C72" s="34"/>
      <c r="D72" s="34"/>
      <c r="E72" s="34"/>
      <c r="F72" s="19"/>
      <c r="G72" s="61" t="str">
        <f>IF(C72="","",IF(C72="Yes","Please descfibe this process, including timeframe for and method by which notification is provided.",""))</f>
        <v/>
      </c>
      <c r="H72" s="37"/>
      <c r="I72" s="38" t="s">
        <v>423</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row>
    <row r="73" spans="1:172" customFormat="1" ht="80.099999999999994" customHeight="1" x14ac:dyDescent="0.2">
      <c r="A73" s="9" t="s">
        <v>319</v>
      </c>
      <c r="B73" s="16" t="s">
        <v>346</v>
      </c>
      <c r="C73" s="34"/>
      <c r="D73" s="34"/>
      <c r="E73" s="34"/>
      <c r="F73" s="19"/>
      <c r="G73" s="61"/>
      <c r="H73" s="37"/>
      <c r="I73" s="38"/>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row>
    <row r="74" spans="1:172" s="1" customFormat="1" ht="80.099999999999994" customHeight="1" x14ac:dyDescent="0.2">
      <c r="A74" s="9" t="s">
        <v>325</v>
      </c>
      <c r="B74" s="18" t="s">
        <v>532</v>
      </c>
      <c r="C74" s="144"/>
      <c r="D74" s="144"/>
      <c r="E74" s="144"/>
      <c r="F74" s="144"/>
      <c r="G74" s="59" t="s">
        <v>33</v>
      </c>
      <c r="H74" s="37"/>
      <c r="I74" s="38"/>
    </row>
    <row r="75" spans="1:172" s="1" customFormat="1" ht="80.099999999999994" customHeight="1" x14ac:dyDescent="0.2">
      <c r="A75" s="9" t="s">
        <v>345</v>
      </c>
      <c r="B75" s="4" t="s">
        <v>503</v>
      </c>
      <c r="C75" s="144"/>
      <c r="D75" s="144"/>
      <c r="E75" s="144"/>
      <c r="F75" s="144"/>
      <c r="G75" s="59" t="s">
        <v>172</v>
      </c>
      <c r="H75" s="37"/>
      <c r="I75" s="38"/>
    </row>
    <row r="76" spans="1:172" customFormat="1" ht="73.5" customHeight="1" x14ac:dyDescent="0.2">
      <c r="A76" s="104" t="s">
        <v>173</v>
      </c>
      <c r="B76" s="104"/>
      <c r="C76" s="3" t="s">
        <v>605</v>
      </c>
      <c r="D76" s="3" t="s">
        <v>606</v>
      </c>
      <c r="E76" s="3" t="s">
        <v>108</v>
      </c>
      <c r="F76" s="3" t="s">
        <v>17</v>
      </c>
      <c r="G76" s="3" t="s">
        <v>18</v>
      </c>
      <c r="H76" s="3" t="s">
        <v>371</v>
      </c>
      <c r="I76" s="3" t="s">
        <v>399</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row>
    <row r="77" spans="1:172" customFormat="1" ht="108.75" customHeight="1" x14ac:dyDescent="0.2">
      <c r="A77" s="9" t="s">
        <v>297</v>
      </c>
      <c r="B77" s="20" t="s">
        <v>533</v>
      </c>
      <c r="C77" s="136"/>
      <c r="D77" s="137"/>
      <c r="E77" s="137"/>
      <c r="F77" s="15"/>
      <c r="G77" s="61" t="str">
        <f>IF(C77="","",IF(C77="Yes","Summarize background check practices including level (e.g. seven-year background checks) and list of any exempted employees or contactors due to restrictions by country of employment.","State plans to implement background checks into your hiring process."))</f>
        <v/>
      </c>
      <c r="H77" s="37" t="s">
        <v>502</v>
      </c>
      <c r="I77" s="38" t="s">
        <v>501</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row>
    <row r="78" spans="1:172" customFormat="1" ht="108.75" customHeight="1" x14ac:dyDescent="0.2">
      <c r="A78" s="22" t="s">
        <v>617</v>
      </c>
      <c r="B78" s="20" t="s">
        <v>618</v>
      </c>
      <c r="C78" s="136"/>
      <c r="D78" s="137"/>
      <c r="E78" s="137"/>
      <c r="F78" s="15"/>
      <c r="G78" s="61" t="str">
        <f>IF(C78="","",IF(C78="Yes","Provide frequency that supplier's process requires and list of any exempted employees or contactors due to the personnel's area of responsibility or restrictions by country of employment.",""))</f>
        <v/>
      </c>
      <c r="H78" s="37" t="s">
        <v>502</v>
      </c>
      <c r="I78" s="38" t="s">
        <v>501</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row>
    <row r="79" spans="1:172" customFormat="1" ht="105" customHeight="1" x14ac:dyDescent="0.2">
      <c r="A79" s="9" t="s">
        <v>298</v>
      </c>
      <c r="B79" s="20" t="s">
        <v>665</v>
      </c>
      <c r="C79" s="136"/>
      <c r="D79" s="137"/>
      <c r="E79" s="137"/>
      <c r="F79" s="15"/>
      <c r="G79" s="61"/>
      <c r="H79" s="37">
        <v>3</v>
      </c>
      <c r="I79" s="38" t="s">
        <v>425</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row>
    <row r="80" spans="1:172" customFormat="1" ht="84" customHeight="1" x14ac:dyDescent="0.2">
      <c r="A80" s="9" t="s">
        <v>299</v>
      </c>
      <c r="B80" s="20" t="s">
        <v>426</v>
      </c>
      <c r="C80" s="139"/>
      <c r="D80" s="140"/>
      <c r="E80" s="140"/>
      <c r="F80" s="141"/>
      <c r="G80" s="61"/>
      <c r="H80" s="38" t="s">
        <v>427</v>
      </c>
      <c r="I80" s="38" t="s">
        <v>428</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row>
    <row r="81" spans="1:172" customFormat="1" ht="88.5" customHeight="1" x14ac:dyDescent="0.2">
      <c r="A81" s="9" t="s">
        <v>300</v>
      </c>
      <c r="B81" s="20" t="s">
        <v>369</v>
      </c>
      <c r="C81" s="34"/>
      <c r="D81" s="34"/>
      <c r="E81" s="34"/>
      <c r="F81" s="21"/>
      <c r="G81" s="61"/>
      <c r="H81" s="37">
        <v>11</v>
      </c>
      <c r="I81" s="38" t="s">
        <v>429</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row>
    <row r="82" spans="1:172" customFormat="1" ht="88.5" customHeight="1" x14ac:dyDescent="0.2">
      <c r="A82" s="9" t="s">
        <v>301</v>
      </c>
      <c r="B82" s="20" t="s">
        <v>430</v>
      </c>
      <c r="C82" s="34"/>
      <c r="D82" s="34"/>
      <c r="E82" s="34"/>
      <c r="F82" s="21"/>
      <c r="G82" s="61"/>
      <c r="H82" s="37">
        <v>12</v>
      </c>
      <c r="I82" s="38" t="s">
        <v>431</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row>
    <row r="83" spans="1:172" customFormat="1" ht="129.94999999999999" customHeight="1" x14ac:dyDescent="0.2">
      <c r="A83" s="9" t="s">
        <v>296</v>
      </c>
      <c r="B83" s="20" t="s">
        <v>666</v>
      </c>
      <c r="C83" s="34"/>
      <c r="D83" s="34"/>
      <c r="E83" s="34"/>
      <c r="F83" s="21"/>
      <c r="G83" s="61"/>
      <c r="H83" s="37">
        <v>10</v>
      </c>
      <c r="I83" s="38" t="s">
        <v>432</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row>
    <row r="84" spans="1:172" customFormat="1" ht="88.5" customHeight="1" x14ac:dyDescent="0.2">
      <c r="A84" s="9" t="s">
        <v>295</v>
      </c>
      <c r="B84" s="20" t="s">
        <v>433</v>
      </c>
      <c r="C84" s="34"/>
      <c r="D84" s="34"/>
      <c r="E84" s="34"/>
      <c r="F84" s="21"/>
      <c r="G84" s="61"/>
      <c r="H84" s="37">
        <v>47</v>
      </c>
      <c r="I84" s="38" t="s">
        <v>434</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row>
    <row r="85" spans="1:172" customFormat="1" ht="135" customHeight="1" x14ac:dyDescent="0.2">
      <c r="A85" s="9" t="s">
        <v>376</v>
      </c>
      <c r="B85" s="20" t="s">
        <v>363</v>
      </c>
      <c r="C85" s="142"/>
      <c r="D85" s="143"/>
      <c r="E85" s="143"/>
      <c r="F85" s="21"/>
      <c r="G85" s="61" t="str">
        <f>IF(C85="","",IF(C85="Yes","Summarize your securing coding training and state how frequently employees are required to undergo this training.","State plans to make secure coding training mandatory for all developers."))</f>
        <v/>
      </c>
      <c r="H85" s="37"/>
      <c r="I85" s="38" t="s">
        <v>435</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row>
    <row r="86" spans="1:172" customFormat="1" ht="176.1" customHeight="1" x14ac:dyDescent="0.2">
      <c r="A86" s="9" t="s">
        <v>377</v>
      </c>
      <c r="B86" s="20" t="s">
        <v>534</v>
      </c>
      <c r="C86" s="142"/>
      <c r="D86" s="143"/>
      <c r="E86" s="143"/>
      <c r="F86" s="21"/>
      <c r="G86" s="61"/>
      <c r="H86" s="37"/>
      <c r="I86" s="38" t="s">
        <v>424</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row>
    <row r="87" spans="1:172" customFormat="1" ht="144.94999999999999" customHeight="1" x14ac:dyDescent="0.2">
      <c r="A87" s="9" t="s">
        <v>378</v>
      </c>
      <c r="B87" s="20" t="s">
        <v>535</v>
      </c>
      <c r="C87" s="139"/>
      <c r="D87" s="140"/>
      <c r="E87" s="140"/>
      <c r="F87" s="141"/>
      <c r="G87" s="61"/>
      <c r="H87" s="37"/>
      <c r="I87" s="38"/>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row>
    <row r="88" spans="1:172" customFormat="1" ht="143.1" customHeight="1" x14ac:dyDescent="0.2">
      <c r="A88" s="9" t="s">
        <v>436</v>
      </c>
      <c r="B88" s="20" t="s">
        <v>650</v>
      </c>
      <c r="C88" s="136"/>
      <c r="D88" s="137"/>
      <c r="E88" s="137"/>
      <c r="F88" s="15"/>
      <c r="G88" s="61" t="str">
        <f>IF(C88="","",IF(C88="Yes","Summarize the required agreements and reviewed policies.","Summarize why new employees are not required to accept agreements or review policy, as well as any practices that are conducted with new employees."))</f>
        <v/>
      </c>
      <c r="H88" s="37"/>
      <c r="I88" s="38"/>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row>
    <row r="89" spans="1:172" customFormat="1" ht="147" customHeight="1" x14ac:dyDescent="0.2">
      <c r="A89" s="9" t="s">
        <v>437</v>
      </c>
      <c r="B89" s="20" t="s">
        <v>633</v>
      </c>
      <c r="C89" s="136"/>
      <c r="D89" s="137"/>
      <c r="E89" s="137"/>
      <c r="F89" s="15"/>
      <c r="G89" s="61" t="str">
        <f>IF(C89="","",IF(C89="Yes","Summarize your security awareness and privacy training content and state how frequently employees are required to undergo security awareness training.","State plans to make security awareness training mandatory for all employees."))</f>
        <v/>
      </c>
      <c r="H89" s="37"/>
      <c r="I89" s="38"/>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row>
    <row r="90" spans="1:172" customFormat="1" ht="54" x14ac:dyDescent="0.2">
      <c r="A90" s="104" t="s">
        <v>156</v>
      </c>
      <c r="B90" s="104"/>
      <c r="C90" s="3" t="s">
        <v>605</v>
      </c>
      <c r="D90" s="3" t="s">
        <v>606</v>
      </c>
      <c r="E90" s="3" t="s">
        <v>108</v>
      </c>
      <c r="F90" s="3" t="s">
        <v>17</v>
      </c>
      <c r="G90" s="3" t="s">
        <v>18</v>
      </c>
      <c r="H90" s="3" t="s">
        <v>371</v>
      </c>
      <c r="I90" s="3" t="s">
        <v>399</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row>
    <row r="91" spans="1:172" s="1" customFormat="1" ht="81" customHeight="1" x14ac:dyDescent="0.2">
      <c r="A91" s="9" t="s">
        <v>176</v>
      </c>
      <c r="B91" s="4" t="s">
        <v>140</v>
      </c>
      <c r="C91" s="54"/>
      <c r="D91" s="54"/>
      <c r="E91" s="54"/>
      <c r="F91" s="35"/>
      <c r="G91" s="61"/>
      <c r="H91" s="37"/>
      <c r="I91" s="38"/>
    </row>
    <row r="92" spans="1:172" s="1" customFormat="1" ht="47.1" customHeight="1" x14ac:dyDescent="0.2">
      <c r="A92" s="9" t="s">
        <v>177</v>
      </c>
      <c r="B92" s="4" t="s">
        <v>536</v>
      </c>
      <c r="C92" s="34"/>
      <c r="D92" s="34"/>
      <c r="E92" s="34"/>
      <c r="F92" s="35"/>
      <c r="G92" s="61" t="str">
        <f>IF(C92="","",IF(C92="Yes","Please provide a high-level description of the major components of this program.","Describe plans to implement such an identity and access management program."))</f>
        <v/>
      </c>
      <c r="H92" s="37">
        <v>1</v>
      </c>
      <c r="I92" s="38" t="s">
        <v>438</v>
      </c>
    </row>
    <row r="93" spans="1:172" s="1" customFormat="1" ht="103.5" customHeight="1" x14ac:dyDescent="0.2">
      <c r="A93" s="9" t="s">
        <v>178</v>
      </c>
      <c r="B93" s="4" t="s">
        <v>537</v>
      </c>
      <c r="C93" s="34"/>
      <c r="D93" s="34"/>
      <c r="E93" s="34"/>
      <c r="F93" s="15"/>
      <c r="G93" s="61"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37"/>
      <c r="I93" s="38"/>
    </row>
    <row r="94" spans="1:172" s="1" customFormat="1" ht="84" customHeight="1" x14ac:dyDescent="0.2">
      <c r="A94" s="9" t="s">
        <v>179</v>
      </c>
      <c r="B94" s="20" t="s">
        <v>275</v>
      </c>
      <c r="C94" s="34"/>
      <c r="D94" s="34"/>
      <c r="E94" s="34"/>
      <c r="F94" s="23"/>
      <c r="G94" s="59" t="str">
        <f>IF(C94="","",IF(C94="Yes","Please describe the approval process.","Please describe how access is granted and managed."))</f>
        <v/>
      </c>
      <c r="H94" s="37">
        <v>5</v>
      </c>
      <c r="I94" s="38" t="s">
        <v>439</v>
      </c>
    </row>
    <row r="95" spans="1:172" s="1" customFormat="1" ht="84" customHeight="1" x14ac:dyDescent="0.2">
      <c r="A95" s="9" t="s">
        <v>180</v>
      </c>
      <c r="B95" s="20" t="s">
        <v>634</v>
      </c>
      <c r="C95" s="34"/>
      <c r="D95" s="34"/>
      <c r="E95" s="34"/>
      <c r="F95" s="23"/>
      <c r="G95" s="59"/>
      <c r="H95" s="38">
        <v>6</v>
      </c>
      <c r="I95" s="38" t="s">
        <v>440</v>
      </c>
    </row>
    <row r="96" spans="1:172" s="1" customFormat="1" ht="84" customHeight="1" x14ac:dyDescent="0.2">
      <c r="A96" s="9" t="s">
        <v>379</v>
      </c>
      <c r="B96" s="20" t="s">
        <v>667</v>
      </c>
      <c r="C96" s="34"/>
      <c r="D96" s="34"/>
      <c r="E96" s="34"/>
      <c r="F96" s="23"/>
      <c r="G96" s="59"/>
      <c r="H96" s="38">
        <v>8</v>
      </c>
      <c r="I96" s="38" t="s">
        <v>441</v>
      </c>
    </row>
    <row r="97" spans="1:172" s="1" customFormat="1" ht="84" customHeight="1" x14ac:dyDescent="0.2">
      <c r="A97" s="9" t="s">
        <v>181</v>
      </c>
      <c r="B97" s="20" t="s">
        <v>373</v>
      </c>
      <c r="C97" s="34"/>
      <c r="D97" s="34"/>
      <c r="E97" s="34"/>
      <c r="F97" s="23"/>
      <c r="G97" s="59" t="str">
        <f>IF(C97="","",IF(C97="Yes","","If not reviewed annually, please provide frequency. If not reviewed, please state plans to implement periodic access reviews."))</f>
        <v/>
      </c>
      <c r="H97" s="38">
        <v>7</v>
      </c>
      <c r="I97" s="38" t="s">
        <v>442</v>
      </c>
    </row>
    <row r="98" spans="1:172" s="1" customFormat="1" ht="84" customHeight="1" x14ac:dyDescent="0.2">
      <c r="A98" s="9" t="s">
        <v>182</v>
      </c>
      <c r="B98" s="20" t="s">
        <v>368</v>
      </c>
      <c r="C98" s="34"/>
      <c r="D98" s="34"/>
      <c r="E98" s="34"/>
      <c r="F98" s="23"/>
      <c r="G98" s="59" t="str">
        <f>IF(C98="","",IF(C98="Yes","","If not reviewed annually, please provide frequency. If not reviewed, please state plans to implement periodic access reviews."))</f>
        <v/>
      </c>
      <c r="H98" s="37">
        <v>9</v>
      </c>
      <c r="I98" s="38" t="s">
        <v>443</v>
      </c>
    </row>
    <row r="99" spans="1:172" s="1" customFormat="1" ht="28.5" x14ac:dyDescent="0.2">
      <c r="A99" s="9" t="s">
        <v>183</v>
      </c>
      <c r="B99" s="20" t="s">
        <v>110</v>
      </c>
      <c r="C99" s="34"/>
      <c r="D99" s="34"/>
      <c r="E99" s="34"/>
      <c r="F99" s="24"/>
      <c r="G99" s="59" t="str">
        <f>IF(C99="","",IF(C99="Yes","Submit documentation and/or web resources as to how remote access is provided, including security controls on the access (i.e., is multifactor authentication used?).","Provide details that prevent this capability."))</f>
        <v/>
      </c>
      <c r="H99" s="37"/>
      <c r="I99" s="38"/>
    </row>
    <row r="100" spans="1:172" s="1" customFormat="1" ht="84" customHeight="1" x14ac:dyDescent="0.2">
      <c r="A100" s="9" t="s">
        <v>184</v>
      </c>
      <c r="B100" s="20" t="s">
        <v>668</v>
      </c>
      <c r="C100" s="34"/>
      <c r="D100" s="34"/>
      <c r="E100" s="34"/>
      <c r="F100" s="24"/>
      <c r="G100" s="59"/>
      <c r="H100" s="37">
        <v>14</v>
      </c>
      <c r="I100" s="38" t="s">
        <v>444</v>
      </c>
    </row>
    <row r="101" spans="1:172" s="1" customFormat="1" ht="84" customHeight="1" x14ac:dyDescent="0.2">
      <c r="A101" s="9" t="s">
        <v>185</v>
      </c>
      <c r="B101" s="20" t="s">
        <v>364</v>
      </c>
      <c r="C101" s="34"/>
      <c r="D101" s="34"/>
      <c r="E101" s="34"/>
      <c r="F101" s="23"/>
      <c r="G101" s="61" t="str">
        <f>IF(C101="","",IF(C101="Yes","Please describe the reason for remote access as well as the process for achieving it.","Please describe in sufficient detail."))</f>
        <v/>
      </c>
      <c r="H101" s="37">
        <v>15</v>
      </c>
      <c r="I101" s="38" t="s">
        <v>445</v>
      </c>
    </row>
    <row r="102" spans="1:172" s="1" customFormat="1" ht="84" customHeight="1" x14ac:dyDescent="0.2">
      <c r="A102" s="9" t="s">
        <v>186</v>
      </c>
      <c r="B102" s="20" t="s">
        <v>538</v>
      </c>
      <c r="C102" s="34"/>
      <c r="D102" s="34"/>
      <c r="E102" s="34"/>
      <c r="F102" s="23"/>
      <c r="G102" s="61" t="str">
        <f>IF(C102="","",IF(C102="Yes","Please describe how remote access sessions are ended.",""))</f>
        <v/>
      </c>
      <c r="H102" s="37">
        <v>17</v>
      </c>
      <c r="I102" s="38" t="s">
        <v>446</v>
      </c>
    </row>
    <row r="103" spans="1:172" s="1" customFormat="1" ht="84" customHeight="1" x14ac:dyDescent="0.2">
      <c r="A103" s="9" t="s">
        <v>187</v>
      </c>
      <c r="B103" s="20" t="s">
        <v>305</v>
      </c>
      <c r="C103" s="34"/>
      <c r="D103" s="34"/>
      <c r="E103" s="34"/>
      <c r="F103" s="23"/>
      <c r="G103" s="61" t="str">
        <f>IF(C103="","",IF(C103="Yes","Please describe how this is accomplished.",""))</f>
        <v/>
      </c>
      <c r="H103" s="37">
        <v>19</v>
      </c>
      <c r="I103" s="38" t="s">
        <v>447</v>
      </c>
    </row>
    <row r="104" spans="1:172" s="76" customFormat="1" ht="84" customHeight="1" x14ac:dyDescent="0.2">
      <c r="A104" s="79" t="s">
        <v>188</v>
      </c>
      <c r="B104" s="81" t="s">
        <v>343</v>
      </c>
      <c r="C104" s="82"/>
      <c r="D104" s="82"/>
      <c r="E104" s="82"/>
      <c r="F104" s="94"/>
      <c r="G104" s="81" t="str">
        <f>IF(C104="","",IF(C104="Yes","Please describe the access required to your customer's networks, and these controls.",""))</f>
        <v/>
      </c>
      <c r="H104" s="95">
        <v>16</v>
      </c>
      <c r="I104" s="96" t="s">
        <v>448</v>
      </c>
    </row>
    <row r="105" spans="1:172" customFormat="1" ht="48" customHeight="1" x14ac:dyDescent="0.2">
      <c r="A105" s="9" t="s">
        <v>189</v>
      </c>
      <c r="B105" s="20" t="s">
        <v>154</v>
      </c>
      <c r="C105" s="34"/>
      <c r="D105" s="34"/>
      <c r="E105" s="34"/>
      <c r="F105" s="21"/>
      <c r="G105" s="61" t="str">
        <f>IF(C105="","",IF(C105="Yes","Describe how aging requirements are implemented, including expiration timeframes.","Describe plans to support password/passphrase aging requirements."))</f>
        <v/>
      </c>
      <c r="H105" s="37"/>
      <c r="I105" s="38"/>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row>
    <row r="106" spans="1:172" s="1" customFormat="1" ht="48" customHeight="1" x14ac:dyDescent="0.2">
      <c r="A106" s="9" t="s">
        <v>190</v>
      </c>
      <c r="B106" s="20" t="s">
        <v>150</v>
      </c>
      <c r="C106" s="34"/>
      <c r="D106" s="34"/>
      <c r="E106" s="34"/>
      <c r="F106" s="21"/>
      <c r="G106" s="61" t="str">
        <f>IF(C106="","",IF(C106="Yes","Describe your password/passphrase complexity requirements.","Describe plans to support password/passphrase complexity requirements."))</f>
        <v/>
      </c>
      <c r="H106" s="37"/>
      <c r="I106" s="38"/>
    </row>
    <row r="107" spans="1:172" s="1" customFormat="1" ht="65.099999999999994" customHeight="1" x14ac:dyDescent="0.2">
      <c r="A107" s="9" t="s">
        <v>191</v>
      </c>
      <c r="B107" s="20" t="s">
        <v>113</v>
      </c>
      <c r="C107" s="34"/>
      <c r="D107" s="34"/>
      <c r="E107" s="34"/>
      <c r="F107" s="25"/>
      <c r="G107" s="61" t="str">
        <f>IF(C107="","",IF(C107="Yes","Describe your documented password/passphrase reset procedures that are currently implemented in the system and/or customer support.","Describe your plans to document system password/passphrase reset procedures."))</f>
        <v/>
      </c>
      <c r="H107" s="37"/>
      <c r="I107" s="38"/>
    </row>
    <row r="108" spans="1:172" s="1" customFormat="1" ht="63.95" customHeight="1" x14ac:dyDescent="0.2">
      <c r="A108" s="9" t="s">
        <v>192</v>
      </c>
      <c r="B108" s="20" t="s">
        <v>114</v>
      </c>
      <c r="C108" s="34"/>
      <c r="D108" s="34"/>
      <c r="E108" s="34"/>
      <c r="F108" s="21"/>
      <c r="G108" s="61" t="str">
        <f>IF(C108="","",IF(C108="Yes","Provide a detailed description of passwords/passphrases hard-coded into your systems or products.",""))</f>
        <v/>
      </c>
      <c r="H108" s="37"/>
      <c r="I108" s="38"/>
    </row>
    <row r="109" spans="1:172" s="1" customFormat="1" ht="30.95" customHeight="1" x14ac:dyDescent="0.2">
      <c r="A109" s="9" t="s">
        <v>193</v>
      </c>
      <c r="B109" s="20" t="s">
        <v>115</v>
      </c>
      <c r="C109" s="34"/>
      <c r="D109" s="34"/>
      <c r="E109" s="34"/>
      <c r="F109" s="21"/>
      <c r="G109" s="61" t="str">
        <f>IF(C109="","",IF(C109="Yes","Provide a detailed description stating why user account passwords/passphrases are visible by administrators.",""))</f>
        <v/>
      </c>
      <c r="H109" s="37"/>
      <c r="I109" s="38"/>
    </row>
    <row r="110" spans="1:172" s="1" customFormat="1" ht="60" customHeight="1" x14ac:dyDescent="0.2">
      <c r="A110" s="9" t="s">
        <v>274</v>
      </c>
      <c r="B110" s="20" t="s">
        <v>116</v>
      </c>
      <c r="C110" s="34"/>
      <c r="D110" s="34"/>
      <c r="E110" s="34"/>
      <c r="F110" s="21"/>
      <c r="G110" s="61" t="str">
        <f>IF(C110="","",IF(C110="Yes","Describe or provide a reference to the algorithm/strategy that is used to encrypt stored passwords/passphrases.","Provide a detailed description stating why user account passwords/passphrases are not encrypted in storage."))</f>
        <v/>
      </c>
      <c r="H110" s="37"/>
      <c r="I110" s="38"/>
    </row>
    <row r="111" spans="1:172" s="1" customFormat="1" ht="103.5" customHeight="1" x14ac:dyDescent="0.2">
      <c r="A111" s="9" t="s">
        <v>276</v>
      </c>
      <c r="B111" s="20" t="s">
        <v>510</v>
      </c>
      <c r="C111" s="54"/>
      <c r="D111" s="54"/>
      <c r="E111" s="54"/>
      <c r="F111" s="21"/>
      <c r="G111" s="61" t="s">
        <v>152</v>
      </c>
      <c r="H111" s="37"/>
      <c r="I111" s="38"/>
    </row>
    <row r="112" spans="1:172" s="1" customFormat="1" ht="103.5" customHeight="1" x14ac:dyDescent="0.2">
      <c r="A112" s="9" t="s">
        <v>278</v>
      </c>
      <c r="B112" s="20" t="s">
        <v>511</v>
      </c>
      <c r="C112" s="54"/>
      <c r="D112" s="54"/>
      <c r="E112" s="54"/>
      <c r="F112" s="21"/>
      <c r="G112" s="61"/>
      <c r="H112" s="37"/>
      <c r="I112" s="38"/>
    </row>
    <row r="113" spans="1:9" s="1" customFormat="1" ht="54" customHeight="1" x14ac:dyDescent="0.2">
      <c r="A113" s="9" t="s">
        <v>279</v>
      </c>
      <c r="B113" s="20" t="s">
        <v>512</v>
      </c>
      <c r="C113" s="34"/>
      <c r="D113" s="34"/>
      <c r="E113" s="34"/>
      <c r="F113" s="21"/>
      <c r="G113" s="61" t="str">
        <f>IF(C113="","",IF(C113="Yes","Describe all authentication services supported by the system.","Describe any plans to support external authentication services in place of local authentication."))</f>
        <v/>
      </c>
      <c r="H113" s="37"/>
      <c r="I113" s="38"/>
    </row>
    <row r="114" spans="1:9" s="1" customFormat="1" ht="48" customHeight="1" x14ac:dyDescent="0.2">
      <c r="A114" s="9" t="s">
        <v>280</v>
      </c>
      <c r="B114" s="20" t="s">
        <v>271</v>
      </c>
      <c r="C114" s="34"/>
      <c r="D114" s="34"/>
      <c r="E114" s="34"/>
      <c r="F114" s="21"/>
      <c r="G114" s="61" t="str">
        <f>IF(C114="","",IF(C114="Yes","Provide a description of logging capabilities. Ensure that all elements of IAM-24 are evaluated for your response.","Describe any plans to enable audit logs for these data elements."))</f>
        <v/>
      </c>
      <c r="H114" s="37"/>
      <c r="I114" s="38"/>
    </row>
    <row r="115" spans="1:9" s="1" customFormat="1" ht="96" customHeight="1" x14ac:dyDescent="0.2">
      <c r="A115" s="9" t="s">
        <v>302</v>
      </c>
      <c r="B115" s="20" t="s">
        <v>539</v>
      </c>
      <c r="C115" s="138"/>
      <c r="D115" s="116"/>
      <c r="E115" s="116"/>
      <c r="F115" s="117"/>
      <c r="G115" s="61" t="s">
        <v>607</v>
      </c>
      <c r="H115" s="37"/>
      <c r="I115" s="38"/>
    </row>
    <row r="116" spans="1:9" s="1" customFormat="1" ht="84" customHeight="1" x14ac:dyDescent="0.2">
      <c r="A116" s="9" t="s">
        <v>303</v>
      </c>
      <c r="B116" s="20" t="s">
        <v>540</v>
      </c>
      <c r="C116" s="34"/>
      <c r="D116" s="34"/>
      <c r="E116" s="34"/>
      <c r="F116" s="24"/>
      <c r="G116" s="59" t="str">
        <f>IF(C116="","",IF(C116="Yes","Describe how this is accomplished.","Describe any plans to implement role-based access controls for end-users."))</f>
        <v/>
      </c>
      <c r="H116" s="37"/>
      <c r="I116" s="38"/>
    </row>
    <row r="117" spans="1:9" s="1" customFormat="1" ht="84" customHeight="1" x14ac:dyDescent="0.2">
      <c r="A117" s="9" t="s">
        <v>304</v>
      </c>
      <c r="B117" s="20" t="s">
        <v>541</v>
      </c>
      <c r="C117" s="34"/>
      <c r="D117" s="34"/>
      <c r="E117" s="34"/>
      <c r="F117" s="24"/>
      <c r="G117" s="59" t="str">
        <f>IF(C117="","",IF(C117="Yes","Describe how this is accomplished.","Describe any plans to implement role-based access controls for administrators, as well as how access/what levels of access are currently granted to administrators."))</f>
        <v/>
      </c>
      <c r="H117" s="37"/>
      <c r="I117" s="38"/>
    </row>
    <row r="118" spans="1:9" s="1" customFormat="1" ht="141.94999999999999" customHeight="1" x14ac:dyDescent="0.2">
      <c r="A118" s="9" t="s">
        <v>342</v>
      </c>
      <c r="B118" s="20" t="s">
        <v>543</v>
      </c>
      <c r="C118" s="54"/>
      <c r="D118" s="54"/>
      <c r="E118" s="54"/>
      <c r="F118" s="24"/>
      <c r="G118" s="59" t="s">
        <v>277</v>
      </c>
      <c r="H118" s="37"/>
      <c r="I118" s="38"/>
    </row>
    <row r="119" spans="1:9" s="1" customFormat="1" ht="138" customHeight="1" x14ac:dyDescent="0.2">
      <c r="A119" s="9" t="s">
        <v>380</v>
      </c>
      <c r="B119" s="20" t="s">
        <v>262</v>
      </c>
      <c r="C119" s="34"/>
      <c r="D119" s="34"/>
      <c r="E119" s="34"/>
      <c r="F119" s="24"/>
      <c r="G119" s="62" t="str">
        <f>IF(C119="","",IF(C119="Yes","Describe or attach your policy or process.","Describe how the provisioning and administration of administrative accounts is currently carried out, as well as any plans to implement such a policy or process."))</f>
        <v/>
      </c>
      <c r="H119" s="37"/>
      <c r="I119" s="38"/>
    </row>
    <row r="120" spans="1:9" s="1" customFormat="1" ht="84" customHeight="1" x14ac:dyDescent="0.2">
      <c r="A120" s="9" t="s">
        <v>449</v>
      </c>
      <c r="B120" s="20" t="s">
        <v>542</v>
      </c>
      <c r="C120" s="34"/>
      <c r="D120" s="34"/>
      <c r="E120" s="34"/>
      <c r="F120" s="24"/>
      <c r="G120" s="61" t="str">
        <f>IF(C120="","",IF(C120="Yes","Provide a brief summary and the review interval.","Describe plans to implement privileged account access-list reviews to your environment."))</f>
        <v/>
      </c>
      <c r="H120" s="37"/>
      <c r="I120" s="38"/>
    </row>
    <row r="121" spans="1:9" s="1" customFormat="1" ht="61.35" customHeight="1" x14ac:dyDescent="0.2">
      <c r="A121" s="104" t="s">
        <v>159</v>
      </c>
      <c r="B121" s="104"/>
      <c r="C121" s="3" t="s">
        <v>605</v>
      </c>
      <c r="D121" s="3" t="s">
        <v>606</v>
      </c>
      <c r="E121" s="3" t="s">
        <v>108</v>
      </c>
      <c r="F121" s="3" t="s">
        <v>17</v>
      </c>
      <c r="G121" s="3" t="s">
        <v>18</v>
      </c>
      <c r="H121" s="3" t="s">
        <v>371</v>
      </c>
      <c r="I121" s="3" t="s">
        <v>399</v>
      </c>
    </row>
    <row r="122" spans="1:9" s="1" customFormat="1" ht="72.75" customHeight="1" x14ac:dyDescent="0.2">
      <c r="A122" s="22" t="s">
        <v>194</v>
      </c>
      <c r="B122" s="20" t="s">
        <v>669</v>
      </c>
      <c r="C122" s="34"/>
      <c r="D122" s="34"/>
      <c r="E122" s="34"/>
      <c r="F122" s="21"/>
      <c r="G122" s="61" t="str">
        <f>IF(C122="","",IF(C122="Yes","Provide a reference to your BCP and supporting documentation or submit it along with this fully-populated questionnaire. Please also descibe how you ensure data availability in the event of the loss of systems or facilities.","Briefly summarize your response."))</f>
        <v/>
      </c>
      <c r="H122" s="37">
        <v>21</v>
      </c>
      <c r="I122" s="38" t="s">
        <v>450</v>
      </c>
    </row>
    <row r="123" spans="1:9" s="1" customFormat="1" ht="48" customHeight="1" x14ac:dyDescent="0.2">
      <c r="A123" s="22" t="s">
        <v>195</v>
      </c>
      <c r="B123" s="20" t="s">
        <v>35</v>
      </c>
      <c r="C123" s="34"/>
      <c r="D123" s="34"/>
      <c r="E123" s="34"/>
      <c r="F123" s="21"/>
      <c r="G123" s="61" t="str">
        <f>IF(C123="","",IF(C123="Yes","Describe your BCP component review strategy.","Describe any plans to annually review and update (as needed) your BCP."))</f>
        <v/>
      </c>
      <c r="H123" s="37"/>
      <c r="I123" s="38" t="s">
        <v>451</v>
      </c>
    </row>
    <row r="124" spans="1:9" s="1" customFormat="1" ht="48" customHeight="1" x14ac:dyDescent="0.2">
      <c r="A124" s="9" t="s">
        <v>196</v>
      </c>
      <c r="B124" s="20" t="s">
        <v>36</v>
      </c>
      <c r="C124" s="34"/>
      <c r="D124" s="34"/>
      <c r="E124" s="34"/>
      <c r="F124" s="21"/>
      <c r="G124" s="61" t="str">
        <f>IF(C124="","",IF(C124="Yes","State the date of your last BCP test.","Describe your strategy to implement annual BCP testing."))</f>
        <v/>
      </c>
      <c r="H124" s="37"/>
      <c r="I124" s="38"/>
    </row>
    <row r="125" spans="1:9" s="1" customFormat="1" ht="64.349999999999994" customHeight="1" x14ac:dyDescent="0.2">
      <c r="A125" s="22" t="s">
        <v>197</v>
      </c>
      <c r="B125" s="20" t="s">
        <v>109</v>
      </c>
      <c r="C125" s="34"/>
      <c r="D125" s="34"/>
      <c r="E125" s="34"/>
      <c r="F125" s="21"/>
      <c r="G125" s="59" t="str">
        <f>IF(C125="","",IF(C125="Yes","Provide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25" s="37"/>
      <c r="I125" s="38" t="s">
        <v>452</v>
      </c>
    </row>
    <row r="126" spans="1:9" s="1" customFormat="1" ht="64.349999999999994" customHeight="1" x14ac:dyDescent="0.2">
      <c r="A126" s="22" t="s">
        <v>198</v>
      </c>
      <c r="B126" s="20" t="s">
        <v>544</v>
      </c>
      <c r="C126" s="34"/>
      <c r="D126" s="34"/>
      <c r="E126" s="34"/>
      <c r="F126" s="21"/>
      <c r="G126" s="59" t="str">
        <f>IF(C126="","",IF(C126="Yes","Provide a reference to the requested documents, or provide them when submitting this fully-populated questionnaire.","State any plans to provide system and/or application architecture diagrams."))</f>
        <v/>
      </c>
      <c r="H126" s="37"/>
      <c r="I126" s="38" t="s">
        <v>453</v>
      </c>
    </row>
    <row r="127" spans="1:9" s="1" customFormat="1" ht="64.349999999999994" customHeight="1" x14ac:dyDescent="0.2">
      <c r="A127" s="22" t="s">
        <v>199</v>
      </c>
      <c r="B127" s="20" t="s">
        <v>545</v>
      </c>
      <c r="C127" s="34"/>
      <c r="D127" s="34"/>
      <c r="E127" s="34"/>
      <c r="F127" s="21"/>
      <c r="G127" s="63" t="str">
        <f>IF(C127="","",IF(C127="Yes","Provide details of these procedures (link or attached).","Provide a detailed summary for this response, including your current end-of-life procedures."))</f>
        <v/>
      </c>
      <c r="H127" s="37">
        <v>40</v>
      </c>
      <c r="I127" s="38" t="s">
        <v>454</v>
      </c>
    </row>
    <row r="128" spans="1:9" s="1" customFormat="1" ht="64.349999999999994" customHeight="1" x14ac:dyDescent="0.2">
      <c r="A128" s="22" t="s">
        <v>200</v>
      </c>
      <c r="B128" s="20" t="s">
        <v>513</v>
      </c>
      <c r="C128" s="34"/>
      <c r="D128" s="34"/>
      <c r="E128" s="34"/>
      <c r="F128" s="21"/>
      <c r="G128" s="63" t="str">
        <f>IF(C128="","",IF(C128="Yes","Please provide a brief description of this process.","State plans to support secure deletion for archived/backed-up Utility data."))</f>
        <v/>
      </c>
      <c r="H128" s="37">
        <v>46</v>
      </c>
      <c r="I128" s="38" t="s">
        <v>455</v>
      </c>
    </row>
    <row r="129" spans="1:172" s="1" customFormat="1" ht="85.5" x14ac:dyDescent="0.2">
      <c r="A129" s="22" t="s">
        <v>201</v>
      </c>
      <c r="B129" s="20" t="s">
        <v>528</v>
      </c>
      <c r="C129" s="34"/>
      <c r="D129" s="34"/>
      <c r="E129" s="34"/>
      <c r="F129" s="21"/>
      <c r="G129" s="63" t="s">
        <v>529</v>
      </c>
      <c r="H129" s="37">
        <v>24</v>
      </c>
      <c r="I129" s="38" t="s">
        <v>456</v>
      </c>
    </row>
    <row r="130" spans="1:172" s="1" customFormat="1" ht="102.95" customHeight="1" x14ac:dyDescent="0.2">
      <c r="A130" s="22" t="s">
        <v>202</v>
      </c>
      <c r="B130" s="20" t="s">
        <v>546</v>
      </c>
      <c r="C130" s="34"/>
      <c r="D130" s="34"/>
      <c r="E130" s="34"/>
      <c r="F130" s="21"/>
      <c r="G130" s="63" t="str">
        <f>IF(C130="","",IF(C130="Yes","Please describe this program in adequate detail.",""))</f>
        <v/>
      </c>
      <c r="H130" s="37">
        <v>54</v>
      </c>
      <c r="I130" s="38" t="s">
        <v>457</v>
      </c>
    </row>
    <row r="131" spans="1:172" s="1" customFormat="1" ht="69" customHeight="1" x14ac:dyDescent="0.2">
      <c r="A131" s="22" t="s">
        <v>350</v>
      </c>
      <c r="B131" s="20" t="s">
        <v>338</v>
      </c>
      <c r="C131" s="34"/>
      <c r="D131" s="34"/>
      <c r="E131" s="34"/>
      <c r="F131" s="21"/>
      <c r="G131" s="63"/>
      <c r="H131" s="37">
        <v>58</v>
      </c>
      <c r="I131" s="38" t="s">
        <v>458</v>
      </c>
    </row>
    <row r="132" spans="1:172" s="1" customFormat="1" ht="69" customHeight="1" x14ac:dyDescent="0.2">
      <c r="A132" s="22" t="s">
        <v>203</v>
      </c>
      <c r="B132" s="20" t="s">
        <v>547</v>
      </c>
      <c r="C132" s="34"/>
      <c r="D132" s="34"/>
      <c r="E132" s="34"/>
      <c r="F132" s="21"/>
      <c r="G132" s="63" t="s">
        <v>339</v>
      </c>
      <c r="H132" s="37">
        <v>52</v>
      </c>
      <c r="I132" s="38" t="s">
        <v>459</v>
      </c>
    </row>
    <row r="133" spans="1:172" s="1" customFormat="1" ht="47.1" customHeight="1" x14ac:dyDescent="0.2">
      <c r="A133" s="9" t="s">
        <v>204</v>
      </c>
      <c r="B133" s="20" t="s">
        <v>117</v>
      </c>
      <c r="C133" s="34"/>
      <c r="D133" s="34"/>
      <c r="E133" s="34"/>
      <c r="F133" s="21"/>
      <c r="G133" s="61" t="str">
        <f>IF(C133="","",IF(C133="Yes","Summarize your defined problem/issue escalation plan contained in your BCP.","Describe any plans to define a problem/issue escalation plan in your BCP."))</f>
        <v/>
      </c>
      <c r="H133" s="37"/>
      <c r="I133" s="38"/>
    </row>
    <row r="134" spans="1:172" s="1" customFormat="1" ht="64.349999999999994" customHeight="1" x14ac:dyDescent="0.2">
      <c r="A134" s="9" t="s">
        <v>205</v>
      </c>
      <c r="B134" s="20" t="s">
        <v>548</v>
      </c>
      <c r="C134" s="34"/>
      <c r="D134" s="34"/>
      <c r="E134" s="34"/>
      <c r="F134" s="26"/>
      <c r="G134" s="61" t="str">
        <f>IF(C134="","",IF(C134="Yes","Provide a valid URL to your current DRP or submit it along with this fully-populated questionnaire.","Describe any plans to develop a Disaster Recovery Plan (DRP)."))</f>
        <v/>
      </c>
      <c r="H134" s="37"/>
      <c r="I134" s="38"/>
    </row>
    <row r="135" spans="1:172" s="1" customFormat="1" ht="64.349999999999994" customHeight="1" x14ac:dyDescent="0.2">
      <c r="A135" s="9" t="s">
        <v>206</v>
      </c>
      <c r="B135" s="20" t="s">
        <v>549</v>
      </c>
      <c r="C135" s="34"/>
      <c r="D135" s="34"/>
      <c r="E135" s="34"/>
      <c r="F135" s="21"/>
      <c r="G135" s="62" t="str">
        <f>IF(C135="","",IF(C135="Yes","Provide links to these documents in Additional Information or attach them with your submission. Include the responsible party for your information security program and the size of your security staff.","Provide a brief summary for this response."))</f>
        <v/>
      </c>
      <c r="H135" s="37"/>
      <c r="I135" s="38"/>
    </row>
    <row r="136" spans="1:172" s="1" customFormat="1" ht="64.349999999999994" customHeight="1" x14ac:dyDescent="0.2">
      <c r="A136" s="9" t="s">
        <v>207</v>
      </c>
      <c r="B136" s="20" t="s">
        <v>161</v>
      </c>
      <c r="C136" s="34"/>
      <c r="D136" s="34"/>
      <c r="E136" s="34"/>
      <c r="F136" s="21"/>
      <c r="G136" s="61" t="str">
        <f>IF(C136="","",IF(C136="Yes","Describe how data will be returned to the utility and in what format will it be presented, as well as how data will be securely deleted from your systems.","Summarize why the Utility's data won't be returned, and plans to implement secure deletion of Utility data."))</f>
        <v/>
      </c>
      <c r="H136" s="37"/>
      <c r="I136" s="38"/>
    </row>
    <row r="137" spans="1:172" s="1" customFormat="1" ht="64.349999999999994" customHeight="1" x14ac:dyDescent="0.2">
      <c r="A137" s="9" t="s">
        <v>208</v>
      </c>
      <c r="B137" s="20" t="s">
        <v>162</v>
      </c>
      <c r="C137" s="34"/>
      <c r="D137" s="34"/>
      <c r="E137" s="34"/>
      <c r="F137" s="21"/>
      <c r="G137" s="59" t="str">
        <f>IF(C137="","",IF(C137="Yes","Provide a reference to the requested documents, or provide them when submitting this fully-populated questionnaire.","State any plans to develop or provide data retention policies for Utility data."))</f>
        <v/>
      </c>
      <c r="H137" s="37"/>
      <c r="I137" s="38"/>
    </row>
    <row r="138" spans="1:172" s="1" customFormat="1" ht="84.95" customHeight="1" x14ac:dyDescent="0.2">
      <c r="A138" s="9" t="s">
        <v>269</v>
      </c>
      <c r="B138" s="20" t="s">
        <v>550</v>
      </c>
      <c r="C138" s="34"/>
      <c r="D138" s="34"/>
      <c r="E138" s="34"/>
      <c r="F138" s="21"/>
      <c r="G138" s="61" t="str">
        <f>IF(C138="","",IF(C138="Yes","Provide reference to or attach your data ownership documention.","Describe in detail why ownership rights are not retained by the utility."))</f>
        <v/>
      </c>
      <c r="H138" s="37"/>
      <c r="I138" s="38"/>
    </row>
    <row r="139" spans="1:172" s="1" customFormat="1" ht="64.349999999999994" customHeight="1" x14ac:dyDescent="0.2">
      <c r="A139" s="9" t="s">
        <v>288</v>
      </c>
      <c r="B139" s="20" t="s">
        <v>66</v>
      </c>
      <c r="C139" s="34"/>
      <c r="D139" s="34"/>
      <c r="E139" s="34"/>
      <c r="F139" s="21"/>
      <c r="G139" s="63" t="str">
        <f>IF(C139="","",IF(C139="Yes","Provide a general summary of your long-term data retention strategy.","State plans to implement a long-term data retention strategy."))</f>
        <v/>
      </c>
      <c r="H139" s="37"/>
      <c r="I139" s="38"/>
    </row>
    <row r="140" spans="1:172" s="1" customFormat="1" ht="64.349999999999994" customHeight="1" x14ac:dyDescent="0.2">
      <c r="A140" s="9" t="s">
        <v>334</v>
      </c>
      <c r="B140" s="20" t="s">
        <v>120</v>
      </c>
      <c r="C140" s="34"/>
      <c r="D140" s="34"/>
      <c r="E140" s="34"/>
      <c r="F140" s="21"/>
      <c r="G140" s="63" t="str">
        <f>IF(C140="","",IF(C140="Yes","Describe how compliance is integrated into your process and procedures.","State plans to handle data in a compliant manner."))</f>
        <v/>
      </c>
      <c r="H140" s="37"/>
      <c r="I140" s="38"/>
    </row>
    <row r="141" spans="1:172" s="76" customFormat="1" ht="64.349999999999994" customHeight="1" x14ac:dyDescent="0.2">
      <c r="A141" s="73" t="s">
        <v>632</v>
      </c>
      <c r="B141" s="72" t="s">
        <v>654</v>
      </c>
      <c r="C141" s="74"/>
      <c r="D141" s="74"/>
      <c r="E141" s="74"/>
      <c r="F141" s="75"/>
      <c r="G141" s="63"/>
      <c r="H141" s="42">
        <v>20.100000000000001</v>
      </c>
      <c r="I141" s="43"/>
    </row>
    <row r="142" spans="1:172" s="1" customFormat="1" ht="53.45" customHeight="1" x14ac:dyDescent="0.2">
      <c r="A142" s="104" t="s">
        <v>155</v>
      </c>
      <c r="B142" s="104"/>
      <c r="C142" s="3" t="s">
        <v>605</v>
      </c>
      <c r="D142" s="3" t="s">
        <v>606</v>
      </c>
      <c r="E142" s="3" t="s">
        <v>108</v>
      </c>
      <c r="F142" s="3" t="s">
        <v>17</v>
      </c>
      <c r="G142" s="3" t="s">
        <v>18</v>
      </c>
      <c r="H142" s="3" t="s">
        <v>371</v>
      </c>
      <c r="I142" s="3" t="s">
        <v>399</v>
      </c>
    </row>
    <row r="143" spans="1:172" s="1" customFormat="1" ht="125.1" customHeight="1" x14ac:dyDescent="0.2">
      <c r="A143" s="22" t="s">
        <v>37</v>
      </c>
      <c r="B143" s="20" t="s">
        <v>348</v>
      </c>
      <c r="C143" s="34"/>
      <c r="D143" s="34"/>
      <c r="E143" s="34"/>
      <c r="F143" s="21"/>
      <c r="G143" s="61" t="str">
        <f>IF(C143="","",IF(C143="Yes","Summarize your current change management process.","Describe current plans to implement a change management process."))</f>
        <v/>
      </c>
      <c r="H143" s="37"/>
      <c r="I143" s="38"/>
    </row>
    <row r="144" spans="1:172" customFormat="1" ht="78" customHeight="1" x14ac:dyDescent="0.2">
      <c r="A144" s="22" t="s">
        <v>38</v>
      </c>
      <c r="B144" s="20" t="s">
        <v>263</v>
      </c>
      <c r="C144" s="34"/>
      <c r="D144" s="34"/>
      <c r="E144" s="34"/>
      <c r="F144" s="24"/>
      <c r="G144" s="61" t="str">
        <f>IF(C144="","",IF(C144="Yes","Describe how this is accomplished within your environment.","Describe your plans to ensure that only application software verifiable as authorized, tested, and approved for production, is placed into production."))</f>
        <v/>
      </c>
      <c r="H144" s="37"/>
      <c r="I144" s="38" t="s">
        <v>460</v>
      </c>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row>
    <row r="145" spans="1:172" customFormat="1" ht="48" customHeight="1" x14ac:dyDescent="0.2">
      <c r="A145" s="22" t="s">
        <v>39</v>
      </c>
      <c r="B145" s="20" t="s">
        <v>349</v>
      </c>
      <c r="C145" s="34"/>
      <c r="D145" s="34"/>
      <c r="E145" s="34"/>
      <c r="F145" s="24"/>
      <c r="G145" s="61" t="s">
        <v>328</v>
      </c>
      <c r="H145" s="37">
        <v>50</v>
      </c>
      <c r="I145" s="38" t="s">
        <v>461</v>
      </c>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row>
    <row r="146" spans="1:172" customFormat="1" ht="48" customHeight="1" x14ac:dyDescent="0.2">
      <c r="A146" s="22" t="s">
        <v>40</v>
      </c>
      <c r="B146" s="20" t="s">
        <v>336</v>
      </c>
      <c r="C146" s="34"/>
      <c r="D146" s="34"/>
      <c r="E146" s="34"/>
      <c r="F146" s="21"/>
      <c r="G146" s="63"/>
      <c r="H146" s="37">
        <v>56</v>
      </c>
      <c r="I146" s="38" t="s">
        <v>462</v>
      </c>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row>
    <row r="147" spans="1:172" s="1" customFormat="1" ht="48" customHeight="1" x14ac:dyDescent="0.2">
      <c r="A147" s="22" t="s">
        <v>42</v>
      </c>
      <c r="B147" s="20" t="s">
        <v>551</v>
      </c>
      <c r="C147" s="34"/>
      <c r="D147" s="34"/>
      <c r="E147" s="34"/>
      <c r="F147" s="21"/>
      <c r="G147" s="61" t="str">
        <f>IF(C147="","",IF(C147="Yes","Summarize your implemented system configuration management process.","Describe how system configuration management is currently handled in your environment."))</f>
        <v/>
      </c>
      <c r="H147" s="37"/>
      <c r="I147" s="38"/>
    </row>
    <row r="148" spans="1:172" s="1" customFormat="1" ht="48" customHeight="1" x14ac:dyDescent="0.2">
      <c r="A148" s="22" t="s">
        <v>43</v>
      </c>
      <c r="B148" s="20" t="s">
        <v>86</v>
      </c>
      <c r="C148" s="34"/>
      <c r="D148" s="34"/>
      <c r="E148" s="34"/>
      <c r="F148" s="26"/>
      <c r="G148" s="62" t="str">
        <f>IF(C148="","",IF(C148="Yes","Summarize your systems management and configuration strategy.","Describe your intent to implement a systems management and configuration strategy."))</f>
        <v/>
      </c>
      <c r="H148" s="37"/>
      <c r="I148" s="38"/>
    </row>
    <row r="149" spans="1:172" s="1" customFormat="1" ht="90" customHeight="1" x14ac:dyDescent="0.2">
      <c r="A149" s="22" t="s">
        <v>44</v>
      </c>
      <c r="B149" s="20" t="s">
        <v>129</v>
      </c>
      <c r="C149" s="26"/>
      <c r="D149" s="26"/>
      <c r="E149" s="26"/>
      <c r="F149" s="26"/>
      <c r="G149" s="61" t="s">
        <v>611</v>
      </c>
      <c r="H149" s="37"/>
      <c r="I149" s="38"/>
    </row>
    <row r="150" spans="1:172" customFormat="1" ht="64.349999999999994" customHeight="1" x14ac:dyDescent="0.2">
      <c r="A150" s="22" t="s">
        <v>45</v>
      </c>
      <c r="B150" s="20" t="s">
        <v>552</v>
      </c>
      <c r="C150" s="34"/>
      <c r="D150" s="34"/>
      <c r="E150" s="34"/>
      <c r="F150" s="24"/>
      <c r="G150" s="63" t="str">
        <f>IF(C150="","",IF(C150="Yes","State how and when the utility will be notified of major changes to your environment.","Describe plans to establish a formal notification mechanism for major environmental changes."))</f>
        <v/>
      </c>
      <c r="H150" s="37"/>
      <c r="I150" s="38"/>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row>
    <row r="151" spans="1:172" customFormat="1" ht="64.349999999999994" customHeight="1" x14ac:dyDescent="0.2">
      <c r="A151" s="22" t="s">
        <v>46</v>
      </c>
      <c r="B151" s="20" t="s">
        <v>41</v>
      </c>
      <c r="C151" s="34"/>
      <c r="D151" s="34"/>
      <c r="E151" s="34"/>
      <c r="F151" s="24"/>
      <c r="G151" s="63" t="str">
        <f>IF(C151="","",IF(C151="Yes","Summarize or provide a reference to the process/procedure to manage releases.","Summarize why clients do not have alternative release options."))</f>
        <v/>
      </c>
      <c r="H151" s="37"/>
      <c r="I151" s="38"/>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row>
    <row r="152" spans="1:172" customFormat="1" ht="64.349999999999994" customHeight="1" x14ac:dyDescent="0.2">
      <c r="A152" s="22" t="s">
        <v>209</v>
      </c>
      <c r="B152" s="20" t="s">
        <v>130</v>
      </c>
      <c r="C152" s="34"/>
      <c r="D152" s="34"/>
      <c r="E152" s="34"/>
      <c r="F152" s="24"/>
      <c r="G152" s="63" t="str">
        <f>IF(C152="","",IF(C152="Yes","Please describe your support strategy.",""))</f>
        <v/>
      </c>
      <c r="H152" s="37"/>
      <c r="I152" s="38"/>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row>
    <row r="153" spans="1:172" customFormat="1" ht="64.349999999999994" customHeight="1" x14ac:dyDescent="0.2">
      <c r="A153" s="22" t="s">
        <v>47</v>
      </c>
      <c r="B153" s="20" t="s">
        <v>118</v>
      </c>
      <c r="C153" s="34"/>
      <c r="D153" s="34"/>
      <c r="E153" s="34"/>
      <c r="F153" s="24"/>
      <c r="G153" s="61" t="str">
        <f>IF(C153="","",IF(C153="Yes","Describe how this is accomplished within your system.","Describe any business or technical reasons why customizations are not supported."))</f>
        <v/>
      </c>
      <c r="H153" s="37"/>
      <c r="I153" s="38"/>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row>
    <row r="154" spans="1:172" customFormat="1" ht="150.94999999999999" customHeight="1" x14ac:dyDescent="0.2">
      <c r="A154" s="22" t="s">
        <v>48</v>
      </c>
      <c r="B154" s="20" t="s">
        <v>553</v>
      </c>
      <c r="C154" s="34"/>
      <c r="D154" s="34"/>
      <c r="E154" s="34"/>
      <c r="F154" s="24"/>
      <c r="G154" s="61" t="str">
        <f>IF(C154="","",IF(C154="Yes","Please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4" s="37"/>
      <c r="I154" s="38"/>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row>
    <row r="155" spans="1:172" customFormat="1" ht="64.349999999999994" customHeight="1" x14ac:dyDescent="0.2">
      <c r="A155" s="22" t="s">
        <v>210</v>
      </c>
      <c r="B155" s="20" t="s">
        <v>554</v>
      </c>
      <c r="C155" s="34"/>
      <c r="D155" s="34"/>
      <c r="E155" s="34"/>
      <c r="F155" s="35"/>
      <c r="G155" s="61" t="str">
        <f>IF(C155="","",IF(C155="Yes","Summarize the policy and procedure(s) guiding risk mitigation practices before critical patches can be applied and provide a copy if available.","State your plans to implement policy and procedure(s) guiding risk mitigation practices before critical patches can be applied."))</f>
        <v/>
      </c>
      <c r="H155" s="37"/>
      <c r="I155" s="38"/>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row>
    <row r="156" spans="1:172" customFormat="1" ht="59.1" customHeight="1" x14ac:dyDescent="0.2">
      <c r="A156" s="22" t="s">
        <v>335</v>
      </c>
      <c r="B156" s="20" t="s">
        <v>74</v>
      </c>
      <c r="C156" s="34"/>
      <c r="D156" s="34"/>
      <c r="E156" s="34"/>
      <c r="F156" s="35"/>
      <c r="G156" s="61" t="str">
        <f>IF(C156="","",IF(C156="Yes","Please describe the policy, including required approvals, for firewall change requests.","State your plans to implement a firewall change request policy or procedure."))</f>
        <v/>
      </c>
      <c r="H156" s="37"/>
      <c r="I156" s="38"/>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row>
    <row r="157" spans="1:172" customFormat="1" ht="54" x14ac:dyDescent="0.2">
      <c r="A157" s="104" t="s">
        <v>160</v>
      </c>
      <c r="B157" s="104"/>
      <c r="C157" s="3" t="s">
        <v>605</v>
      </c>
      <c r="D157" s="3" t="s">
        <v>606</v>
      </c>
      <c r="E157" s="3" t="s">
        <v>108</v>
      </c>
      <c r="F157" s="3" t="s">
        <v>17</v>
      </c>
      <c r="G157" s="3" t="s">
        <v>18</v>
      </c>
      <c r="H157" s="3" t="s">
        <v>371</v>
      </c>
      <c r="I157" s="3" t="s">
        <v>399</v>
      </c>
    </row>
    <row r="158" spans="1:172" customFormat="1" ht="48" customHeight="1" x14ac:dyDescent="0.2">
      <c r="A158" s="22" t="s">
        <v>351</v>
      </c>
      <c r="B158" s="20" t="s">
        <v>638</v>
      </c>
      <c r="C158" s="34"/>
      <c r="D158" s="34"/>
      <c r="E158" s="34"/>
      <c r="F158" s="15"/>
      <c r="G158" s="61" t="str">
        <f>IF(C158="","",IF(C158="Yes","Provide a general summary of your archival environment.","State plans to store long-term media in environmentally protected areas."))</f>
        <v/>
      </c>
      <c r="H158" s="40"/>
      <c r="I158" s="40" t="s">
        <v>463</v>
      </c>
    </row>
    <row r="159" spans="1:172" customFormat="1" ht="81" customHeight="1" x14ac:dyDescent="0.2">
      <c r="A159" s="22" t="s">
        <v>352</v>
      </c>
      <c r="B159" s="20" t="s">
        <v>555</v>
      </c>
      <c r="C159" s="34"/>
      <c r="D159" s="34"/>
      <c r="E159" s="34"/>
      <c r="F159" s="21"/>
      <c r="G159" s="61" t="str">
        <f>IF(C159="","",IF(C159="Yes","","Please state the owner of the physical data center where the utility's data will reside."))</f>
        <v/>
      </c>
      <c r="H159" s="40"/>
      <c r="I159" s="40" t="s">
        <v>464</v>
      </c>
    </row>
    <row r="160" spans="1:172" customFormat="1" ht="48" customHeight="1" x14ac:dyDescent="0.2">
      <c r="A160" s="22" t="s">
        <v>353</v>
      </c>
      <c r="B160" s="20" t="s">
        <v>70</v>
      </c>
      <c r="C160" s="34"/>
      <c r="D160" s="34"/>
      <c r="E160" s="34"/>
      <c r="F160" s="21"/>
      <c r="G160" s="61" t="str">
        <f>IF(C160="","",IF(C160="Yes","","Please describe security controls that prevent unauthorized physical contacts with your devices."))</f>
        <v/>
      </c>
      <c r="H160" s="40"/>
      <c r="I160" s="40"/>
    </row>
    <row r="161" spans="1:9" customFormat="1" ht="48" customHeight="1" x14ac:dyDescent="0.2">
      <c r="A161" s="22" t="s">
        <v>354</v>
      </c>
      <c r="B161" s="20" t="s">
        <v>556</v>
      </c>
      <c r="C161" s="34"/>
      <c r="D161" s="34"/>
      <c r="E161" s="34"/>
      <c r="F161" s="21"/>
      <c r="G161" s="61"/>
      <c r="H161" s="40"/>
      <c r="I161" s="40"/>
    </row>
    <row r="162" spans="1:9" customFormat="1" ht="48" customHeight="1" x14ac:dyDescent="0.2">
      <c r="A162" s="22" t="s">
        <v>355</v>
      </c>
      <c r="B162" s="20" t="s">
        <v>557</v>
      </c>
      <c r="C162" s="34"/>
      <c r="D162" s="34"/>
      <c r="E162" s="34"/>
      <c r="F162" s="17"/>
      <c r="G162" s="61" t="str">
        <f>IF(C162="","",IF(C162="Yes","Please describe how this is accomplished, including the process by which it is ensure that access has been approved before it is provisioned.","Please describe plans to implement appropriate segregation of duties."))</f>
        <v/>
      </c>
      <c r="H162" s="40"/>
      <c r="I162" s="40" t="s">
        <v>465</v>
      </c>
    </row>
    <row r="163" spans="1:9" customFormat="1" ht="57" x14ac:dyDescent="0.2">
      <c r="A163" s="22" t="s">
        <v>356</v>
      </c>
      <c r="B163" s="20" t="s">
        <v>119</v>
      </c>
      <c r="C163" s="34"/>
      <c r="D163" s="34"/>
      <c r="E163" s="34"/>
      <c r="F163" s="26"/>
      <c r="G163" s="61" t="s">
        <v>62</v>
      </c>
      <c r="H163" s="40"/>
      <c r="I163" s="40"/>
    </row>
    <row r="164" spans="1:9" customFormat="1" ht="48" customHeight="1" x14ac:dyDescent="0.2">
      <c r="A164" s="22" t="s">
        <v>357</v>
      </c>
      <c r="B164" s="20" t="s">
        <v>670</v>
      </c>
      <c r="C164" s="34"/>
      <c r="D164" s="34"/>
      <c r="E164" s="34"/>
      <c r="F164" s="15"/>
      <c r="G164" s="61" t="str">
        <f>IF(C164="","",IF(C164="Yes","","State plans to adhere to DoD 5220.22-M and/or NIST SP 800-88 standards."))</f>
        <v/>
      </c>
      <c r="H164" s="40"/>
      <c r="I164" s="40"/>
    </row>
    <row r="165" spans="1:9" customFormat="1" ht="48" customHeight="1" x14ac:dyDescent="0.2">
      <c r="A165" s="22" t="s">
        <v>358</v>
      </c>
      <c r="B165" s="20" t="s">
        <v>72</v>
      </c>
      <c r="C165" s="34"/>
      <c r="D165" s="34"/>
      <c r="E165" s="34"/>
      <c r="F165" s="15"/>
      <c r="G165" s="61" t="str">
        <f>IF(C165="","",IF(C165="Yes","Describe how and where WAFs are currently implemented in your environment.","Describe any plans to implement a WAF in your environment."))</f>
        <v/>
      </c>
      <c r="H165" s="40"/>
      <c r="I165" s="40"/>
    </row>
    <row r="166" spans="1:9" customFormat="1" ht="48" customHeight="1" x14ac:dyDescent="0.2">
      <c r="A166" s="22" t="s">
        <v>359</v>
      </c>
      <c r="B166" s="20" t="s">
        <v>73</v>
      </c>
      <c r="C166" s="34"/>
      <c r="D166" s="34"/>
      <c r="E166" s="34"/>
      <c r="F166" s="15"/>
      <c r="G166" s="61" t="str">
        <f>IF(C166="","",IF(C166="Yes","Describe how and where SPI firewalls are currently implemented in your environment.","State any plans to implement SPI firewalls in your environment."))</f>
        <v/>
      </c>
      <c r="H166" s="40"/>
      <c r="I166" s="40"/>
    </row>
    <row r="167" spans="1:9" customFormat="1" ht="48" customHeight="1" x14ac:dyDescent="0.2">
      <c r="A167" s="22" t="s">
        <v>211</v>
      </c>
      <c r="B167" s="20" t="s">
        <v>558</v>
      </c>
      <c r="C167" s="15"/>
      <c r="D167" s="15"/>
      <c r="E167" s="15"/>
      <c r="F167" s="15"/>
      <c r="G167" s="61"/>
      <c r="H167" s="40"/>
      <c r="I167" s="40"/>
    </row>
    <row r="168" spans="1:9" customFormat="1" ht="48" customHeight="1" x14ac:dyDescent="0.2">
      <c r="A168" s="22" t="s">
        <v>212</v>
      </c>
      <c r="B168" s="20" t="s">
        <v>75</v>
      </c>
      <c r="C168" s="34"/>
      <c r="D168" s="34"/>
      <c r="E168" s="34"/>
      <c r="F168" s="15"/>
      <c r="G168" s="61" t="str">
        <f>IF(C168="","",IF(C168="Yes","","Please describe for which network(s) and/or tool(s) audit logs are not available."))</f>
        <v/>
      </c>
      <c r="H168" s="40"/>
      <c r="I168" s="40"/>
    </row>
    <row r="169" spans="1:9" customFormat="1" ht="48" customHeight="1" x14ac:dyDescent="0.2">
      <c r="A169" s="22" t="s">
        <v>213</v>
      </c>
      <c r="B169" s="20" t="s">
        <v>615</v>
      </c>
      <c r="C169" s="34"/>
      <c r="D169" s="34"/>
      <c r="E169" s="34"/>
      <c r="F169" s="15"/>
      <c r="G169" s="61" t="str">
        <f>IF(C169="","",IF(C169="Yes","Please describe how the development environments/systems are isolated.","Describe any plans to segregate development environments/systems from other networks."))</f>
        <v/>
      </c>
      <c r="H169" s="40"/>
      <c r="I169" s="40"/>
    </row>
    <row r="170" spans="1:9" customFormat="1" ht="42.75" x14ac:dyDescent="0.2">
      <c r="A170" s="22" t="s">
        <v>214</v>
      </c>
      <c r="B170" s="20" t="s">
        <v>153</v>
      </c>
      <c r="C170" s="15"/>
      <c r="D170" s="15"/>
      <c r="E170" s="15"/>
      <c r="F170" s="15"/>
      <c r="G170" s="61"/>
      <c r="H170" s="40"/>
      <c r="I170" s="40"/>
    </row>
    <row r="171" spans="1:9" customFormat="1" ht="48" customHeight="1" x14ac:dyDescent="0.2">
      <c r="A171" s="22" t="s">
        <v>215</v>
      </c>
      <c r="B171" s="20" t="s">
        <v>67</v>
      </c>
      <c r="C171" s="34"/>
      <c r="D171" s="34"/>
      <c r="E171" s="34"/>
      <c r="F171" s="15"/>
      <c r="G171" s="61" t="str">
        <f>IF(C171="","",IF(C171="Yes","Please provide a copy of the SOC 2 Type 2 audit report.","Describe any plans to conduct a SOC 2 Type 2 audit."))</f>
        <v/>
      </c>
      <c r="H171" s="40"/>
      <c r="I171" s="40"/>
    </row>
    <row r="172" spans="1:9" customFormat="1" ht="48" customHeight="1" x14ac:dyDescent="0.2">
      <c r="A172" s="22" t="s">
        <v>216</v>
      </c>
      <c r="B172" s="20" t="s">
        <v>68</v>
      </c>
      <c r="C172" s="34"/>
      <c r="D172" s="34"/>
      <c r="E172" s="34"/>
      <c r="F172" s="15"/>
      <c r="G172" s="61"/>
      <c r="H172" s="40"/>
      <c r="I172" s="40"/>
    </row>
    <row r="173" spans="1:9" customFormat="1" ht="48" customHeight="1" x14ac:dyDescent="0.2">
      <c r="A173" s="22" t="s">
        <v>217</v>
      </c>
      <c r="B173" s="20" t="s">
        <v>69</v>
      </c>
      <c r="C173" s="34"/>
      <c r="D173" s="34"/>
      <c r="E173" s="34"/>
      <c r="F173" s="15"/>
      <c r="G173" s="61" t="str">
        <f>IF(C173="","",IF(C173="Yes","","Please describe how your servers are physically separated/isolated from those of other customers."))</f>
        <v/>
      </c>
      <c r="H173" s="40"/>
      <c r="I173" s="40"/>
    </row>
    <row r="174" spans="1:9" customFormat="1" ht="48" customHeight="1" x14ac:dyDescent="0.2">
      <c r="A174" s="22" t="s">
        <v>218</v>
      </c>
      <c r="B174" s="20" t="s">
        <v>71</v>
      </c>
      <c r="C174" s="34"/>
      <c r="D174" s="34"/>
      <c r="E174" s="34"/>
      <c r="F174" s="15"/>
      <c r="G174" s="61"/>
      <c r="H174" s="40"/>
      <c r="I174" s="40"/>
    </row>
    <row r="175" spans="1:9" customFormat="1" ht="48" customHeight="1" x14ac:dyDescent="0.2">
      <c r="A175" s="22" t="s">
        <v>219</v>
      </c>
      <c r="B175" s="20" t="s">
        <v>559</v>
      </c>
      <c r="C175" s="34"/>
      <c r="D175" s="34"/>
      <c r="E175" s="34"/>
      <c r="F175" s="15"/>
      <c r="G175" s="61"/>
      <c r="H175" s="40"/>
      <c r="I175" s="40"/>
    </row>
    <row r="176" spans="1:9" customFormat="1" ht="48" customHeight="1" x14ac:dyDescent="0.2">
      <c r="A176" s="22" t="s">
        <v>220</v>
      </c>
      <c r="B176" s="20" t="s">
        <v>560</v>
      </c>
      <c r="C176" s="15"/>
      <c r="D176" s="15"/>
      <c r="E176" s="15"/>
      <c r="F176" s="15"/>
      <c r="G176" s="61"/>
      <c r="H176" s="40"/>
      <c r="I176" s="40"/>
    </row>
    <row r="177" spans="1:9" customFormat="1" ht="48" customHeight="1" x14ac:dyDescent="0.2">
      <c r="A177" s="22" t="s">
        <v>221</v>
      </c>
      <c r="B177" s="20" t="s">
        <v>561</v>
      </c>
      <c r="C177" s="34"/>
      <c r="D177" s="34"/>
      <c r="E177" s="34"/>
      <c r="F177" s="15"/>
      <c r="G177" s="61"/>
      <c r="H177" s="40"/>
      <c r="I177" s="40"/>
    </row>
    <row r="178" spans="1:9" customFormat="1" ht="48" customHeight="1" x14ac:dyDescent="0.2">
      <c r="A178" s="22" t="s">
        <v>222</v>
      </c>
      <c r="B178" s="20" t="s">
        <v>81</v>
      </c>
      <c r="C178" s="34"/>
      <c r="D178" s="34"/>
      <c r="E178" s="34"/>
      <c r="F178" s="15"/>
      <c r="G178" s="61"/>
      <c r="H178" s="40"/>
      <c r="I178" s="40"/>
    </row>
    <row r="179" spans="1:9" customFormat="1" ht="48" customHeight="1" x14ac:dyDescent="0.2">
      <c r="A179" s="22" t="s">
        <v>223</v>
      </c>
      <c r="B179" s="20" t="s">
        <v>111</v>
      </c>
      <c r="C179" s="34"/>
      <c r="D179" s="34"/>
      <c r="E179" s="34"/>
      <c r="F179" s="15"/>
      <c r="G179" s="61"/>
      <c r="H179" s="40"/>
      <c r="I179" s="40"/>
    </row>
    <row r="180" spans="1:9" customFormat="1" ht="48" customHeight="1" x14ac:dyDescent="0.2">
      <c r="A180" s="22" t="s">
        <v>224</v>
      </c>
      <c r="B180" s="20" t="s">
        <v>112</v>
      </c>
      <c r="C180" s="34"/>
      <c r="D180" s="34"/>
      <c r="E180" s="34"/>
      <c r="F180" s="15"/>
      <c r="G180" s="61"/>
      <c r="H180" s="40"/>
      <c r="I180" s="40"/>
    </row>
    <row r="181" spans="1:9" customFormat="1" ht="48" customHeight="1" x14ac:dyDescent="0.2">
      <c r="A181" s="22" t="s">
        <v>272</v>
      </c>
      <c r="B181" s="20" t="s">
        <v>264</v>
      </c>
      <c r="C181" s="34"/>
      <c r="D181" s="34"/>
      <c r="E181" s="34"/>
      <c r="F181" s="15"/>
      <c r="G181" s="61"/>
      <c r="H181" s="40"/>
      <c r="I181" s="40"/>
    </row>
    <row r="182" spans="1:9" customFormat="1" ht="54" x14ac:dyDescent="0.2">
      <c r="A182" s="104" t="s">
        <v>163</v>
      </c>
      <c r="B182" s="104"/>
      <c r="C182" s="3" t="s">
        <v>605</v>
      </c>
      <c r="D182" s="3" t="s">
        <v>606</v>
      </c>
      <c r="E182" s="3" t="s">
        <v>108</v>
      </c>
      <c r="F182" s="3" t="s">
        <v>17</v>
      </c>
      <c r="G182" s="3" t="s">
        <v>18</v>
      </c>
      <c r="H182" s="3" t="s">
        <v>371</v>
      </c>
      <c r="I182" s="3" t="s">
        <v>399</v>
      </c>
    </row>
    <row r="183" spans="1:9" customFormat="1" ht="42.75" x14ac:dyDescent="0.2">
      <c r="A183" s="22" t="s">
        <v>49</v>
      </c>
      <c r="B183" s="20" t="s">
        <v>562</v>
      </c>
      <c r="C183" s="34"/>
      <c r="D183" s="34"/>
      <c r="E183" s="34"/>
      <c r="F183" s="14"/>
      <c r="G183" s="61" t="str">
        <f>IF(C183="","",IF(C183="Yes","Please state the algorithm/method used to achieve encryption in transit.","Please describe plans to encrypt data-in-transit."))</f>
        <v/>
      </c>
      <c r="H183" s="40">
        <v>18</v>
      </c>
      <c r="I183" s="40" t="s">
        <v>466</v>
      </c>
    </row>
    <row r="184" spans="1:9" customFormat="1" ht="57" x14ac:dyDescent="0.2">
      <c r="A184" s="22" t="s">
        <v>225</v>
      </c>
      <c r="B184" s="20" t="s">
        <v>563</v>
      </c>
      <c r="C184" s="34"/>
      <c r="D184" s="34"/>
      <c r="E184" s="34"/>
      <c r="F184" s="14"/>
      <c r="G184" s="61"/>
      <c r="H184" s="40">
        <v>44</v>
      </c>
      <c r="I184" s="40" t="s">
        <v>467</v>
      </c>
    </row>
    <row r="185" spans="1:9" customFormat="1" ht="64.349999999999994" customHeight="1" x14ac:dyDescent="0.2">
      <c r="A185" s="22" t="s">
        <v>50</v>
      </c>
      <c r="B185" s="20" t="s">
        <v>514</v>
      </c>
      <c r="C185" s="34"/>
      <c r="D185" s="34"/>
      <c r="E185" s="34"/>
      <c r="F185" s="14"/>
      <c r="G185" s="61" t="str">
        <f>IF(C185="","",IF(C185="Yes","Please state the algorithm/method used to achieve encryption in transit.","Please describe plans to encrypt data-in-transit."))</f>
        <v/>
      </c>
      <c r="H185" s="40">
        <v>42</v>
      </c>
      <c r="I185" s="40" t="s">
        <v>468</v>
      </c>
    </row>
    <row r="186" spans="1:9" customFormat="1" ht="64.349999999999994" customHeight="1" x14ac:dyDescent="0.2">
      <c r="A186" s="22" t="s">
        <v>51</v>
      </c>
      <c r="B186" s="20" t="s">
        <v>564</v>
      </c>
      <c r="C186" s="34"/>
      <c r="D186" s="34"/>
      <c r="E186" s="34"/>
      <c r="F186" s="14"/>
      <c r="G186" s="61" t="str">
        <f>IF(C186="","",IF(C186="Yes","Please state the algorithm/method used to achieve encryption at rest.","Please describe plans to encrypt data-at-rest."))</f>
        <v/>
      </c>
      <c r="H186" s="40"/>
      <c r="I186" s="40" t="s">
        <v>469</v>
      </c>
    </row>
    <row r="187" spans="1:9" customFormat="1" ht="64.349999999999994" customHeight="1" x14ac:dyDescent="0.2">
      <c r="A187" s="22" t="s">
        <v>52</v>
      </c>
      <c r="B187" s="20" t="s">
        <v>65</v>
      </c>
      <c r="C187" s="34"/>
      <c r="D187" s="34"/>
      <c r="E187" s="34"/>
      <c r="F187" s="14"/>
      <c r="G187" s="61"/>
      <c r="H187" s="40"/>
      <c r="I187" s="40"/>
    </row>
    <row r="188" spans="1:9" customFormat="1" ht="64.349999999999994" customHeight="1" x14ac:dyDescent="0.2">
      <c r="A188" s="22" t="s">
        <v>53</v>
      </c>
      <c r="B188" s="20" t="s">
        <v>565</v>
      </c>
      <c r="C188" s="34"/>
      <c r="D188" s="34"/>
      <c r="E188" s="34"/>
      <c r="F188" s="26"/>
      <c r="G188" s="61"/>
      <c r="H188" s="40"/>
      <c r="I188" s="40" t="s">
        <v>470</v>
      </c>
    </row>
    <row r="189" spans="1:9" customFormat="1" ht="64.349999999999994" customHeight="1" x14ac:dyDescent="0.2">
      <c r="A189" s="22" t="s">
        <v>54</v>
      </c>
      <c r="B189" s="20" t="s">
        <v>365</v>
      </c>
      <c r="C189" s="34"/>
      <c r="D189" s="34"/>
      <c r="E189" s="34"/>
      <c r="F189" s="26"/>
      <c r="G189" s="61" t="str">
        <f>IF(C189="","",IF(C189="Yes","Please describe or provide a reference to this program.",""))</f>
        <v/>
      </c>
      <c r="H189" s="40">
        <v>38</v>
      </c>
      <c r="I189" s="40" t="s">
        <v>471</v>
      </c>
    </row>
    <row r="190" spans="1:9" customFormat="1" ht="64.349999999999994" customHeight="1" x14ac:dyDescent="0.2">
      <c r="A190" s="22" t="s">
        <v>55</v>
      </c>
      <c r="B190" s="20" t="s">
        <v>515</v>
      </c>
      <c r="C190" s="34"/>
      <c r="D190" s="34"/>
      <c r="E190" s="34"/>
      <c r="F190" s="26"/>
      <c r="G190" s="61" t="str">
        <f>IF(C190="","",IF(C190="Yes","","Please identify technologies that are not covered by your program, and how data is secured as it pertains to these technologies."))</f>
        <v/>
      </c>
      <c r="H190" s="40">
        <v>41</v>
      </c>
      <c r="I190" s="40" t="s">
        <v>472</v>
      </c>
    </row>
    <row r="191" spans="1:9" customFormat="1" ht="64.349999999999994" customHeight="1" x14ac:dyDescent="0.2">
      <c r="A191" s="22" t="s">
        <v>56</v>
      </c>
      <c r="B191" s="20" t="s">
        <v>639</v>
      </c>
      <c r="C191" s="34"/>
      <c r="D191" s="34"/>
      <c r="E191" s="34"/>
      <c r="F191" s="26"/>
      <c r="G191" s="61"/>
      <c r="H191" s="40">
        <v>43</v>
      </c>
      <c r="I191" s="40" t="s">
        <v>473</v>
      </c>
    </row>
    <row r="192" spans="1:9" customFormat="1" ht="64.349999999999994" customHeight="1" x14ac:dyDescent="0.2">
      <c r="A192" s="22" t="s">
        <v>57</v>
      </c>
      <c r="B192" s="20" t="s">
        <v>324</v>
      </c>
      <c r="C192" s="34"/>
      <c r="D192" s="34"/>
      <c r="E192" s="34"/>
      <c r="F192" s="26"/>
      <c r="G192" s="61" t="str">
        <f>IF(C192="","",IF(C192="Yes","Please describe your data loss prevention program and platforms supported.","State any plans to implement data loss prevention capabilities."))</f>
        <v/>
      </c>
      <c r="H192" s="40">
        <v>45</v>
      </c>
      <c r="I192" s="40" t="s">
        <v>474</v>
      </c>
    </row>
    <row r="193" spans="1:9" customFormat="1" ht="64.349999999999994" customHeight="1" x14ac:dyDescent="0.2">
      <c r="A193" s="22" t="s">
        <v>226</v>
      </c>
      <c r="B193" s="20" t="s">
        <v>330</v>
      </c>
      <c r="C193" s="34"/>
      <c r="D193" s="34"/>
      <c r="E193" s="34"/>
      <c r="F193" s="26"/>
      <c r="G193" s="61" t="str">
        <f>IF(C193="","",IF(C193="Yes","Please describe the process(es) and/or control(s).",""))</f>
        <v/>
      </c>
      <c r="H193" s="40">
        <v>52</v>
      </c>
      <c r="I193" s="40" t="s">
        <v>475</v>
      </c>
    </row>
    <row r="194" spans="1:9" customFormat="1" ht="48" customHeight="1" x14ac:dyDescent="0.2">
      <c r="A194" s="22" t="s">
        <v>227</v>
      </c>
      <c r="B194" s="20" t="s">
        <v>504</v>
      </c>
      <c r="C194" s="34"/>
      <c r="D194" s="34"/>
      <c r="E194" s="34"/>
      <c r="F194" s="21"/>
      <c r="G194" s="61" t="str">
        <f>IF(C194="","",IF(C194="Yes","Describe the on-site staff capabilities.","State any plans to staff data centers 24x7x365."))</f>
        <v/>
      </c>
      <c r="H194" s="40"/>
      <c r="I194" s="40"/>
    </row>
    <row r="195" spans="1:9" customFormat="1" ht="64.349999999999994" customHeight="1" x14ac:dyDescent="0.2">
      <c r="A195" s="22" t="s">
        <v>58</v>
      </c>
      <c r="B195" s="20" t="s">
        <v>128</v>
      </c>
      <c r="C195" s="34"/>
      <c r="D195" s="34"/>
      <c r="E195" s="34"/>
      <c r="F195" s="26"/>
      <c r="G195" s="61" t="str">
        <f>IF(C195="","",IF(C195="Yes","Please describe why logical segregation of data is not implemented/possible in your environment.","Please describe how data is segregated."))</f>
        <v/>
      </c>
      <c r="H195" s="40"/>
      <c r="I195" s="40"/>
    </row>
    <row r="196" spans="1:9" customFormat="1" ht="64.349999999999994" customHeight="1" x14ac:dyDescent="0.2">
      <c r="A196" s="22" t="s">
        <v>60</v>
      </c>
      <c r="B196" s="20" t="s">
        <v>566</v>
      </c>
      <c r="C196" s="34"/>
      <c r="D196" s="34"/>
      <c r="E196" s="34"/>
      <c r="F196" s="26"/>
      <c r="G196" s="61"/>
      <c r="H196" s="40"/>
      <c r="I196" s="40"/>
    </row>
    <row r="197" spans="1:9" customFormat="1" ht="64.349999999999994" customHeight="1" x14ac:dyDescent="0.2">
      <c r="A197" s="22" t="s">
        <v>61</v>
      </c>
      <c r="B197" s="20" t="s">
        <v>142</v>
      </c>
      <c r="C197" s="34"/>
      <c r="D197" s="34"/>
      <c r="E197" s="34"/>
      <c r="F197" s="26"/>
      <c r="G197" s="61" t="str">
        <f>IF(C197="","",IF(C197="Yes","Please state the algorithm/method used to achieve encryption of databases.","Please describe plans to emcrypt databases."))</f>
        <v/>
      </c>
      <c r="H197" s="40"/>
      <c r="I197" s="40"/>
    </row>
    <row r="198" spans="1:9" customFormat="1" ht="64.349999999999994" customHeight="1" x14ac:dyDescent="0.2">
      <c r="A198" s="22" t="s">
        <v>63</v>
      </c>
      <c r="B198" s="20" t="s">
        <v>567</v>
      </c>
      <c r="C198" s="34"/>
      <c r="D198" s="34"/>
      <c r="E198" s="34"/>
      <c r="F198" s="26"/>
      <c r="G198" s="61" t="str">
        <f>IF(C198="","",IF(C198="Yes","Please state the algorithm/method used to encrypt unstructured data.","Please describe plans to implement the encryption of unstructured data."))</f>
        <v/>
      </c>
      <c r="H198" s="40"/>
      <c r="I198" s="40"/>
    </row>
    <row r="199" spans="1:9" customFormat="1" ht="64.349999999999994" customHeight="1" x14ac:dyDescent="0.2">
      <c r="A199" s="22" t="s">
        <v>228</v>
      </c>
      <c r="B199" s="20" t="s">
        <v>151</v>
      </c>
      <c r="C199" s="34"/>
      <c r="D199" s="34"/>
      <c r="E199" s="34"/>
      <c r="F199" s="26"/>
      <c r="G199" s="61" t="str">
        <f>IF(C199="","",IF(C199="Yes","Please describe how workstations and mobile devices are encrypted.","Describe plans to encrypt workstations and/or mobile devices."))</f>
        <v/>
      </c>
      <c r="H199" s="40"/>
      <c r="I199" s="40"/>
    </row>
    <row r="200" spans="1:9" customFormat="1" ht="64.349999999999994" customHeight="1" x14ac:dyDescent="0.2">
      <c r="A200" s="22" t="s">
        <v>321</v>
      </c>
      <c r="B200" s="20" t="s">
        <v>131</v>
      </c>
      <c r="C200" s="34"/>
      <c r="D200" s="34"/>
      <c r="E200" s="34"/>
      <c r="F200" s="26"/>
      <c r="G200" s="61"/>
      <c r="H200" s="40"/>
      <c r="I200" s="40"/>
    </row>
    <row r="201" spans="1:9" customFormat="1" ht="64.349999999999994" customHeight="1" x14ac:dyDescent="0.2">
      <c r="A201" s="22" t="s">
        <v>322</v>
      </c>
      <c r="B201" s="20" t="s">
        <v>568</v>
      </c>
      <c r="C201" s="34"/>
      <c r="D201" s="34"/>
      <c r="E201" s="34"/>
      <c r="F201" s="26"/>
      <c r="G201" s="61" t="str">
        <f>IF(C201="","",IF(C201="Yes","Please state the algorithm/method used to achieve encrypt data over TCP/IP.","Please describe plans to encrypt data over TCP/IP."))</f>
        <v/>
      </c>
      <c r="H201" s="40"/>
      <c r="I201" s="40" t="s">
        <v>469</v>
      </c>
    </row>
    <row r="202" spans="1:9" customFormat="1" ht="64.349999999999994" customHeight="1" x14ac:dyDescent="0.2">
      <c r="A202" s="22" t="s">
        <v>323</v>
      </c>
      <c r="B202" s="20" t="s">
        <v>569</v>
      </c>
      <c r="C202" s="55"/>
      <c r="D202" s="55"/>
      <c r="E202" s="55"/>
      <c r="F202" s="14"/>
      <c r="G202" s="61" t="s">
        <v>267</v>
      </c>
      <c r="H202" s="40"/>
      <c r="I202" s="40"/>
    </row>
    <row r="203" spans="1:9" customFormat="1" ht="64.349999999999994" customHeight="1" x14ac:dyDescent="0.2">
      <c r="A203" s="22" t="s">
        <v>329</v>
      </c>
      <c r="B203" s="20" t="s">
        <v>570</v>
      </c>
      <c r="C203" s="55"/>
      <c r="D203" s="55"/>
      <c r="E203" s="55"/>
      <c r="F203" s="14"/>
      <c r="G203" s="61" t="str">
        <f>IF(C203="","",IF(C203="Yes","Please list all cloud providers that will host Utility data.",""))</f>
        <v/>
      </c>
      <c r="H203" s="40"/>
      <c r="I203" s="40"/>
    </row>
    <row r="204" spans="1:9" customFormat="1" ht="64.349999999999994" customHeight="1" x14ac:dyDescent="0.2">
      <c r="A204" s="22" t="s">
        <v>360</v>
      </c>
      <c r="B204" s="20" t="s">
        <v>59</v>
      </c>
      <c r="C204" s="55"/>
      <c r="D204" s="55"/>
      <c r="E204" s="55"/>
      <c r="F204" s="14"/>
      <c r="G204" s="61"/>
      <c r="H204" s="40"/>
      <c r="I204" s="40"/>
    </row>
    <row r="205" spans="1:9" customFormat="1" ht="64.349999999999994" customHeight="1" x14ac:dyDescent="0.2">
      <c r="A205" s="22" t="s">
        <v>381</v>
      </c>
      <c r="B205" s="20" t="s">
        <v>64</v>
      </c>
      <c r="C205" s="34"/>
      <c r="D205" s="34"/>
      <c r="E205" s="34"/>
      <c r="F205" s="14"/>
      <c r="G205" s="61" t="str">
        <f>IF(C205="","",IF(C205="Yes","Please specify the algorithm used to encrypt data backups.","State any plans to encrypt data backups."))</f>
        <v/>
      </c>
      <c r="H205" s="40"/>
      <c r="I205" s="40"/>
    </row>
    <row r="206" spans="1:9" customFormat="1" ht="64.349999999999994" customHeight="1" x14ac:dyDescent="0.2">
      <c r="A206" s="22" t="s">
        <v>382</v>
      </c>
      <c r="B206" s="20" t="s">
        <v>571</v>
      </c>
      <c r="C206" s="34"/>
      <c r="D206" s="34"/>
      <c r="E206" s="34"/>
      <c r="F206" s="14"/>
      <c r="G206" s="61"/>
      <c r="H206" s="40"/>
      <c r="I206" s="40"/>
    </row>
    <row r="207" spans="1:9" customFormat="1" ht="64.349999999999994" customHeight="1" x14ac:dyDescent="0.2">
      <c r="A207" s="73" t="s">
        <v>629</v>
      </c>
      <c r="B207" s="72" t="s">
        <v>630</v>
      </c>
      <c r="C207" s="71"/>
      <c r="D207" s="71"/>
      <c r="E207" s="71"/>
      <c r="F207" s="14"/>
      <c r="G207" s="61"/>
      <c r="H207" s="41"/>
      <c r="I207" s="41" t="s">
        <v>631</v>
      </c>
    </row>
    <row r="208" spans="1:9" customFormat="1" ht="64.349999999999994" customHeight="1" x14ac:dyDescent="0.2">
      <c r="A208" s="104" t="s">
        <v>164</v>
      </c>
      <c r="B208" s="104"/>
      <c r="C208" s="3" t="s">
        <v>605</v>
      </c>
      <c r="D208" s="3" t="s">
        <v>606</v>
      </c>
      <c r="E208" s="3" t="s">
        <v>108</v>
      </c>
      <c r="F208" s="3" t="s">
        <v>17</v>
      </c>
      <c r="G208" s="3" t="s">
        <v>18</v>
      </c>
      <c r="H208" s="3" t="s">
        <v>371</v>
      </c>
      <c r="I208" s="3" t="s">
        <v>399</v>
      </c>
    </row>
    <row r="209" spans="1:9" customFormat="1" ht="64.349999999999994" customHeight="1" x14ac:dyDescent="0.2">
      <c r="A209" s="9" t="s">
        <v>229</v>
      </c>
      <c r="B209" s="4" t="s">
        <v>640</v>
      </c>
      <c r="C209" s="34"/>
      <c r="D209" s="34"/>
      <c r="E209" s="34"/>
      <c r="F209" s="14"/>
      <c r="G209" s="61" t="str">
        <f>IF(C209="","",IF(C209="Yes","Please describe your cyber incident response process, including when notification would be made to purchaser.","State plans to develop and implement a cyber incident response process."))</f>
        <v/>
      </c>
      <c r="H209" s="40">
        <v>25</v>
      </c>
      <c r="I209" s="40" t="s">
        <v>476</v>
      </c>
    </row>
    <row r="210" spans="1:9" customFormat="1" ht="64.349999999999994" customHeight="1" x14ac:dyDescent="0.2">
      <c r="A210" s="9" t="s">
        <v>230</v>
      </c>
      <c r="B210" s="4" t="s">
        <v>641</v>
      </c>
      <c r="C210" s="34"/>
      <c r="D210" s="34"/>
      <c r="E210" s="34"/>
      <c r="F210" s="14"/>
      <c r="G210" s="61"/>
      <c r="H210" s="40">
        <v>28</v>
      </c>
      <c r="I210" s="40" t="s">
        <v>477</v>
      </c>
    </row>
    <row r="211" spans="1:9" customFormat="1" ht="120" customHeight="1" x14ac:dyDescent="0.2">
      <c r="A211" s="9" t="s">
        <v>231</v>
      </c>
      <c r="B211" s="4" t="s">
        <v>642</v>
      </c>
      <c r="C211" s="34"/>
      <c r="D211" s="34"/>
      <c r="E211" s="34"/>
      <c r="F211" s="14"/>
      <c r="G211" s="61" t="s">
        <v>375</v>
      </c>
      <c r="H211" s="40">
        <v>36</v>
      </c>
      <c r="I211" s="40" t="s">
        <v>478</v>
      </c>
    </row>
    <row r="212" spans="1:9" customFormat="1" ht="64.349999999999994" customHeight="1" x14ac:dyDescent="0.2">
      <c r="A212" s="9" t="s">
        <v>312</v>
      </c>
      <c r="B212" s="20" t="s">
        <v>572</v>
      </c>
      <c r="C212" s="34"/>
      <c r="D212" s="34"/>
      <c r="E212" s="34"/>
      <c r="F212" s="14"/>
      <c r="G212" s="61"/>
      <c r="H212" s="40" t="s">
        <v>479</v>
      </c>
      <c r="I212" s="40" t="s">
        <v>480</v>
      </c>
    </row>
    <row r="213" spans="1:9" customFormat="1" ht="72" customHeight="1" x14ac:dyDescent="0.2">
      <c r="A213" s="9" t="s">
        <v>310</v>
      </c>
      <c r="B213" s="20" t="s">
        <v>643</v>
      </c>
      <c r="C213" s="34"/>
      <c r="D213" s="34"/>
      <c r="E213" s="34"/>
      <c r="F213" s="27"/>
      <c r="G213" s="61" t="str">
        <f>IF(C213="","",IF(C213="Yes","Please describe this process.","State plans to develop and implement such a process."))</f>
        <v/>
      </c>
      <c r="H213" s="40"/>
      <c r="I213" s="40" t="s">
        <v>481</v>
      </c>
    </row>
    <row r="214" spans="1:9" customFormat="1" ht="64.349999999999994" customHeight="1" x14ac:dyDescent="0.2">
      <c r="A214" s="9" t="s">
        <v>311</v>
      </c>
      <c r="B214" s="20" t="s">
        <v>366</v>
      </c>
      <c r="C214" s="34"/>
      <c r="D214" s="34"/>
      <c r="E214" s="34"/>
      <c r="F214" s="27"/>
      <c r="G214" s="61" t="s">
        <v>482</v>
      </c>
      <c r="H214" s="40">
        <v>33</v>
      </c>
      <c r="I214" s="40" t="s">
        <v>483</v>
      </c>
    </row>
    <row r="215" spans="1:9" customFormat="1" ht="64.349999999999994" customHeight="1" x14ac:dyDescent="0.2">
      <c r="A215" s="9" t="s">
        <v>314</v>
      </c>
      <c r="B215" s="20" t="s">
        <v>313</v>
      </c>
      <c r="C215" s="34"/>
      <c r="D215" s="34"/>
      <c r="E215" s="34"/>
      <c r="F215" s="27"/>
      <c r="G215" s="61" t="s">
        <v>484</v>
      </c>
      <c r="H215" s="40" t="s">
        <v>653</v>
      </c>
      <c r="I215" s="40" t="s">
        <v>485</v>
      </c>
    </row>
    <row r="216" spans="1:9" customFormat="1" ht="64.349999999999994" customHeight="1" x14ac:dyDescent="0.2">
      <c r="A216" s="9" t="s">
        <v>315</v>
      </c>
      <c r="B216" s="20" t="s">
        <v>486</v>
      </c>
      <c r="C216" s="34"/>
      <c r="D216" s="34"/>
      <c r="E216" s="34"/>
      <c r="F216" s="27"/>
      <c r="G216" s="61"/>
      <c r="H216" s="40">
        <v>32</v>
      </c>
      <c r="I216" s="40" t="s">
        <v>487</v>
      </c>
    </row>
    <row r="217" spans="1:9" customFormat="1" ht="64.349999999999994" customHeight="1" x14ac:dyDescent="0.2">
      <c r="A217" s="9" t="s">
        <v>317</v>
      </c>
      <c r="B217" s="20" t="s">
        <v>644</v>
      </c>
      <c r="C217" s="34"/>
      <c r="D217" s="34"/>
      <c r="E217" s="34"/>
      <c r="F217" s="27"/>
      <c r="G217" s="61"/>
      <c r="H217" s="40">
        <v>27</v>
      </c>
      <c r="I217" s="40" t="s">
        <v>488</v>
      </c>
    </row>
    <row r="218" spans="1:9" customFormat="1" ht="64.349999999999994" customHeight="1" x14ac:dyDescent="0.2">
      <c r="A218" s="9" t="s">
        <v>383</v>
      </c>
      <c r="B218" s="20" t="s">
        <v>316</v>
      </c>
      <c r="C218" s="34"/>
      <c r="D218" s="34"/>
      <c r="E218" s="34"/>
      <c r="F218" s="27"/>
      <c r="G218" s="61"/>
      <c r="H218" s="40">
        <v>29</v>
      </c>
      <c r="I218" s="40" t="s">
        <v>489</v>
      </c>
    </row>
    <row r="219" spans="1:9" s="67" customFormat="1" ht="64.349999999999994" customHeight="1" x14ac:dyDescent="0.2">
      <c r="A219" s="22" t="s">
        <v>384</v>
      </c>
      <c r="B219" s="20" t="s">
        <v>627</v>
      </c>
      <c r="C219" s="65"/>
      <c r="D219" s="65"/>
      <c r="E219" s="65"/>
      <c r="F219" s="14"/>
      <c r="G219" s="20" t="str">
        <f>IF(C219="","",IF(C219="Yes","What type of system do you use (network-based, host-based, etc.)?","State plans to implement an intrustion detection/prevention system."))</f>
        <v/>
      </c>
      <c r="H219" s="40"/>
      <c r="I219" s="40"/>
    </row>
    <row r="220" spans="1:9" customFormat="1" ht="64.349999999999994" customHeight="1" x14ac:dyDescent="0.2">
      <c r="A220" s="9" t="s">
        <v>385</v>
      </c>
      <c r="B220" s="4" t="s">
        <v>165</v>
      </c>
      <c r="C220" s="34"/>
      <c r="D220" s="34"/>
      <c r="E220" s="34"/>
      <c r="F220" s="14"/>
      <c r="G220" s="61"/>
      <c r="H220" s="40"/>
      <c r="I220" s="40"/>
    </row>
    <row r="221" spans="1:9" customFormat="1" ht="54" x14ac:dyDescent="0.2">
      <c r="A221" s="104" t="s">
        <v>166</v>
      </c>
      <c r="B221" s="104"/>
      <c r="C221" s="3" t="s">
        <v>605</v>
      </c>
      <c r="D221" s="3" t="s">
        <v>606</v>
      </c>
      <c r="E221" s="3" t="s">
        <v>108</v>
      </c>
      <c r="F221" s="3" t="s">
        <v>17</v>
      </c>
      <c r="G221" s="3" t="s">
        <v>18</v>
      </c>
      <c r="H221" s="3" t="s">
        <v>371</v>
      </c>
      <c r="I221" s="3" t="s">
        <v>399</v>
      </c>
    </row>
    <row r="222" spans="1:9" customFormat="1" ht="48" customHeight="1" x14ac:dyDescent="0.2">
      <c r="A222" s="9" t="s">
        <v>232</v>
      </c>
      <c r="B222" s="4" t="s">
        <v>573</v>
      </c>
      <c r="C222" s="34"/>
      <c r="D222" s="34"/>
      <c r="E222" s="34"/>
      <c r="F222" s="14"/>
      <c r="G222" s="61" t="s">
        <v>167</v>
      </c>
      <c r="H222" s="41"/>
      <c r="I222" s="41"/>
    </row>
    <row r="223" spans="1:9" customFormat="1" ht="64.5" customHeight="1" x14ac:dyDescent="0.2">
      <c r="A223" s="9" t="s">
        <v>233</v>
      </c>
      <c r="B223" s="4" t="s">
        <v>76</v>
      </c>
      <c r="C223" s="55"/>
      <c r="D223" s="55"/>
      <c r="E223" s="55"/>
      <c r="F223" s="14"/>
      <c r="G223" s="61" t="s">
        <v>613</v>
      </c>
      <c r="H223" s="41"/>
      <c r="I223" s="41"/>
    </row>
    <row r="224" spans="1:9" customFormat="1" ht="48" customHeight="1" x14ac:dyDescent="0.2">
      <c r="A224" s="9" t="s">
        <v>234</v>
      </c>
      <c r="B224" s="4" t="s">
        <v>106</v>
      </c>
      <c r="C224" s="34"/>
      <c r="D224" s="34"/>
      <c r="E224" s="34"/>
      <c r="F224" s="15"/>
      <c r="G224" s="61" t="str">
        <f>IF(C224="","",IF(C224="Yes","State the application title as listed within the trusted source.","Decribe how the application is distributed. Also, state any plans to publish the app to a trusted source."))</f>
        <v/>
      </c>
      <c r="H224" s="41"/>
      <c r="I224" s="41"/>
    </row>
    <row r="225" spans="1:9" customFormat="1" ht="63.75" customHeight="1" x14ac:dyDescent="0.2">
      <c r="A225" s="9" t="s">
        <v>235</v>
      </c>
      <c r="B225" s="4" t="s">
        <v>168</v>
      </c>
      <c r="C225" s="34"/>
      <c r="D225" s="34"/>
      <c r="E225" s="34"/>
      <c r="F225" s="15"/>
      <c r="G225" s="61" t="str">
        <f>IF(C225="","",IF(C225="Yes","Provide a detailed summary for your response.",""))</f>
        <v/>
      </c>
      <c r="H225" s="41"/>
      <c r="I225" s="41"/>
    </row>
    <row r="226" spans="1:9" customFormat="1" ht="57.75" customHeight="1" x14ac:dyDescent="0.2">
      <c r="A226" s="9" t="s">
        <v>236</v>
      </c>
      <c r="B226" s="4" t="s">
        <v>132</v>
      </c>
      <c r="C226" s="34"/>
      <c r="D226" s="34"/>
      <c r="E226" s="34"/>
      <c r="F226" s="15"/>
      <c r="G226" s="61" t="str">
        <f>IF(C226="","",IF(C226="Yes","Provide a detailed description of what data will be stored and in which location(s), as well as why storing this data in this/these location(s) is necessary.",""))</f>
        <v/>
      </c>
      <c r="H226" s="41"/>
      <c r="I226" s="41"/>
    </row>
    <row r="227" spans="1:9" customFormat="1" ht="48" customHeight="1" x14ac:dyDescent="0.2">
      <c r="A227" s="9" t="s">
        <v>237</v>
      </c>
      <c r="B227" s="4" t="s">
        <v>574</v>
      </c>
      <c r="C227" s="34"/>
      <c r="D227" s="34"/>
      <c r="E227" s="34"/>
      <c r="F227" s="15"/>
      <c r="G227" s="61" t="str">
        <f>IF(C227="","",IF(C227="Yes","Summarize your MDM capabilities.","State any plans to implement a MDM platform in your environment."))</f>
        <v/>
      </c>
      <c r="H227" s="41"/>
      <c r="I227" s="41"/>
    </row>
    <row r="228" spans="1:9" customFormat="1" ht="48" customHeight="1" x14ac:dyDescent="0.2">
      <c r="A228" s="9" t="s">
        <v>238</v>
      </c>
      <c r="B228" s="4" t="s">
        <v>133</v>
      </c>
      <c r="C228" s="34"/>
      <c r="D228" s="34"/>
      <c r="E228" s="34"/>
      <c r="F228" s="15"/>
      <c r="G228" s="61" t="str">
        <f>IF(C228="","",IF(C228="Yes","State any capabilities and plans to detect and prevent the use of jailbroken devices.","Please provide an explanation on how this is enforced."))</f>
        <v/>
      </c>
      <c r="H228" s="41"/>
      <c r="I228" s="41"/>
    </row>
    <row r="229" spans="1:9" customFormat="1" ht="48" customHeight="1" x14ac:dyDescent="0.2">
      <c r="A229" s="9" t="s">
        <v>239</v>
      </c>
      <c r="B229" s="4" t="s">
        <v>575</v>
      </c>
      <c r="C229" s="34"/>
      <c r="D229" s="34"/>
      <c r="E229" s="34"/>
      <c r="F229" s="15"/>
      <c r="G229" s="61" t="str">
        <f>IF(C229="","",IF(C229="Yes","Describe how data is encrypted in transport. (i.e. from system to app)","Summarize why data is not encrypted in transport. (i.e. from system to app)"))</f>
        <v/>
      </c>
      <c r="H229" s="41"/>
      <c r="I229" s="41"/>
    </row>
    <row r="230" spans="1:9" customFormat="1" ht="48" customHeight="1" x14ac:dyDescent="0.2">
      <c r="A230" s="9" t="s">
        <v>240</v>
      </c>
      <c r="B230" s="4" t="s">
        <v>576</v>
      </c>
      <c r="C230" s="34"/>
      <c r="D230" s="34"/>
      <c r="E230" s="34"/>
      <c r="F230" s="15"/>
      <c r="G230" s="61" t="str">
        <f>IF(C230="","",IF(C230="Yes","Describe how data is encrypted in storage (i.e. at-rest within the app).","Summarize why data is not encrypted in storage (i.e. at-rest within the app)"))</f>
        <v/>
      </c>
      <c r="H230" s="41"/>
      <c r="I230" s="41"/>
    </row>
    <row r="231" spans="1:9" customFormat="1" ht="67.5" customHeight="1" x14ac:dyDescent="0.2">
      <c r="A231" s="9" t="s">
        <v>241</v>
      </c>
      <c r="B231" s="4" t="s">
        <v>169</v>
      </c>
      <c r="C231" s="34"/>
      <c r="D231" s="34"/>
      <c r="E231" s="34"/>
      <c r="F231" s="15"/>
      <c r="G231" s="61" t="str">
        <f>IF(C231="","",IF(C231="Yes","Please provide additional information on the methodology used for the vulnerability testing and indicate if the testing was internal or external.","Please state any plans to perform vulnerability testing on the application."))</f>
        <v/>
      </c>
      <c r="H231" s="41"/>
      <c r="I231" s="41"/>
    </row>
    <row r="232" spans="1:9" customFormat="1" ht="64.349999999999994" customHeight="1" x14ac:dyDescent="0.2">
      <c r="A232" s="104" t="s">
        <v>170</v>
      </c>
      <c r="B232" s="104"/>
      <c r="C232" s="3" t="s">
        <v>605</v>
      </c>
      <c r="D232" s="3" t="s">
        <v>606</v>
      </c>
      <c r="E232" s="3" t="s">
        <v>108</v>
      </c>
      <c r="F232" s="3" t="s">
        <v>17</v>
      </c>
      <c r="G232" s="3" t="s">
        <v>18</v>
      </c>
      <c r="H232" s="3" t="s">
        <v>371</v>
      </c>
      <c r="I232" s="3" t="s">
        <v>399</v>
      </c>
    </row>
    <row r="233" spans="1:9" customFormat="1" ht="64.349999999999994" customHeight="1" x14ac:dyDescent="0.2">
      <c r="A233" s="9" t="s">
        <v>242</v>
      </c>
      <c r="B233" s="4" t="s">
        <v>77</v>
      </c>
      <c r="C233" s="34"/>
      <c r="D233" s="34"/>
      <c r="E233" s="34"/>
      <c r="F233" s="15"/>
      <c r="G233" s="62" t="str">
        <f>IF(C233="","",IF(C233="Yes","Provide a copy of your physical security controls and policies along with this document (link or attached).","Describe your intent to implement physical security controls and policies."))</f>
        <v/>
      </c>
      <c r="H233" s="40"/>
      <c r="I233" s="40"/>
    </row>
    <row r="234" spans="1:9" customFormat="1" ht="64.349999999999994" customHeight="1" x14ac:dyDescent="0.2">
      <c r="A234" s="9" t="s">
        <v>243</v>
      </c>
      <c r="B234" s="20" t="s">
        <v>134</v>
      </c>
      <c r="C234" s="34"/>
      <c r="D234" s="34"/>
      <c r="E234" s="34"/>
      <c r="F234" s="21"/>
      <c r="G234" s="61" t="str">
        <f>IF(C234="","",IF(C234="Yes","List open source code or freeware/shareware utilized, including frameworks. Describe how you verify integrity and maintain this code, including monitoring for vulnerabilities and deploying patches.",""))</f>
        <v/>
      </c>
      <c r="H234" s="40"/>
      <c r="I234" s="40"/>
    </row>
    <row r="235" spans="1:9" customFormat="1" ht="64.349999999999994" customHeight="1" x14ac:dyDescent="0.2">
      <c r="A235" s="9" t="s">
        <v>244</v>
      </c>
      <c r="B235" s="20" t="s">
        <v>287</v>
      </c>
      <c r="C235" s="34"/>
      <c r="D235" s="34"/>
      <c r="E235" s="34"/>
      <c r="F235" s="21"/>
      <c r="G235" s="61" t="str">
        <f>IF(C235="","",IF(C235="Yes","Please describe in appropriate detail.","Please describe how you ensure security of products during electronic transport."))</f>
        <v/>
      </c>
      <c r="H235" s="40">
        <v>60</v>
      </c>
      <c r="I235" s="40" t="s">
        <v>490</v>
      </c>
    </row>
    <row r="236" spans="1:9" customFormat="1" ht="64.349999999999994" customHeight="1" x14ac:dyDescent="0.2">
      <c r="A236" s="9" t="s">
        <v>245</v>
      </c>
      <c r="B236" s="20" t="s">
        <v>645</v>
      </c>
      <c r="C236" s="34"/>
      <c r="D236" s="34"/>
      <c r="E236" s="34"/>
      <c r="F236" s="21"/>
      <c r="G236" s="61" t="str">
        <f>IF(C236="","",IF(C236="Yes","Please describe how this is accomplished.",""))</f>
        <v/>
      </c>
      <c r="H236" s="40"/>
      <c r="I236" s="40" t="s">
        <v>491</v>
      </c>
    </row>
    <row r="237" spans="1:9" customFormat="1" ht="64.349999999999994" customHeight="1" x14ac:dyDescent="0.2">
      <c r="A237" s="9" t="s">
        <v>246</v>
      </c>
      <c r="B237" s="20" t="s">
        <v>367</v>
      </c>
      <c r="C237" s="34"/>
      <c r="D237" s="34"/>
      <c r="E237" s="34"/>
      <c r="F237" s="21"/>
      <c r="G237" s="61"/>
      <c r="H237" s="40" t="s">
        <v>492</v>
      </c>
      <c r="I237" s="40" t="s">
        <v>493</v>
      </c>
    </row>
    <row r="238" spans="1:9" customFormat="1" ht="64.349999999999994" customHeight="1" x14ac:dyDescent="0.2">
      <c r="A238" s="9" t="s">
        <v>247</v>
      </c>
      <c r="B238" s="20" t="s">
        <v>577</v>
      </c>
      <c r="C238" s="34"/>
      <c r="D238" s="34"/>
      <c r="E238" s="34"/>
      <c r="F238" s="21"/>
      <c r="G238" s="61"/>
      <c r="H238" s="40">
        <v>51</v>
      </c>
      <c r="I238" s="40" t="s">
        <v>494</v>
      </c>
    </row>
    <row r="239" spans="1:9" customFormat="1" ht="64.349999999999994" customHeight="1" x14ac:dyDescent="0.2">
      <c r="A239" s="9" t="s">
        <v>248</v>
      </c>
      <c r="B239" s="20" t="s">
        <v>307</v>
      </c>
      <c r="C239" s="34"/>
      <c r="D239" s="34"/>
      <c r="E239" s="34"/>
      <c r="F239" s="21"/>
      <c r="G239" s="61"/>
      <c r="H239" s="41">
        <v>20</v>
      </c>
      <c r="I239" s="40"/>
    </row>
    <row r="240" spans="1:9" customFormat="1" ht="64.349999999999994" customHeight="1" x14ac:dyDescent="0.2">
      <c r="A240" s="9" t="s">
        <v>249</v>
      </c>
      <c r="B240" s="20" t="s">
        <v>516</v>
      </c>
      <c r="C240" s="34"/>
      <c r="D240" s="34"/>
      <c r="E240" s="34"/>
      <c r="F240" s="21"/>
      <c r="G240" s="61"/>
      <c r="H240" s="40">
        <v>37</v>
      </c>
      <c r="I240" s="40" t="s">
        <v>495</v>
      </c>
    </row>
    <row r="241" spans="1:9" customFormat="1" ht="71.25" x14ac:dyDescent="0.2">
      <c r="A241" s="9" t="s">
        <v>250</v>
      </c>
      <c r="B241" s="20" t="s">
        <v>671</v>
      </c>
      <c r="C241" s="34"/>
      <c r="D241" s="34"/>
      <c r="E241" s="34"/>
      <c r="F241" s="21"/>
      <c r="G241" s="61" t="str">
        <f>IF(C241="","",IF(C241="Yes","Please describe this program.","Please describe how this is accomplished in absence of formal process or program."))</f>
        <v/>
      </c>
      <c r="H241" s="40">
        <v>49</v>
      </c>
      <c r="I241" s="40" t="s">
        <v>496</v>
      </c>
    </row>
    <row r="242" spans="1:9" customFormat="1" ht="64.349999999999994" customHeight="1" x14ac:dyDescent="0.2">
      <c r="A242" s="9" t="s">
        <v>251</v>
      </c>
      <c r="B242" s="20" t="s">
        <v>332</v>
      </c>
      <c r="C242" s="34"/>
      <c r="D242" s="34"/>
      <c r="E242" s="34"/>
      <c r="F242" s="21"/>
      <c r="G242" s="61"/>
      <c r="H242" s="40">
        <v>53</v>
      </c>
      <c r="I242" s="40" t="s">
        <v>497</v>
      </c>
    </row>
    <row r="243" spans="1:9" customFormat="1" ht="64.349999999999994" customHeight="1" x14ac:dyDescent="0.2">
      <c r="A243" s="9" t="s">
        <v>252</v>
      </c>
      <c r="B243" s="20" t="s">
        <v>578</v>
      </c>
      <c r="C243" s="34"/>
      <c r="D243" s="34"/>
      <c r="E243" s="34"/>
      <c r="F243" s="21"/>
      <c r="G243" s="61"/>
      <c r="H243" s="40"/>
      <c r="I243" s="40" t="s">
        <v>498</v>
      </c>
    </row>
    <row r="244" spans="1:9" customFormat="1" ht="64.349999999999994" customHeight="1" x14ac:dyDescent="0.2">
      <c r="A244" s="9" t="s">
        <v>253</v>
      </c>
      <c r="B244" s="20" t="s">
        <v>579</v>
      </c>
      <c r="C244" s="34"/>
      <c r="D244" s="34"/>
      <c r="E244" s="34"/>
      <c r="F244" s="21"/>
      <c r="G244" s="61"/>
      <c r="H244" s="40"/>
      <c r="I244" s="40" t="s">
        <v>499</v>
      </c>
    </row>
    <row r="245" spans="1:9" customFormat="1" ht="91.5" customHeight="1" x14ac:dyDescent="0.2">
      <c r="A245" s="22" t="s">
        <v>254</v>
      </c>
      <c r="B245" s="20" t="s">
        <v>651</v>
      </c>
      <c r="C245" s="91"/>
      <c r="D245" s="91"/>
      <c r="E245" s="91"/>
      <c r="F245" s="21"/>
      <c r="G245" s="61" t="str">
        <f>IF(C245="","",IF(C245="Yes","Please describe these controls.",""))</f>
        <v/>
      </c>
      <c r="H245" s="40">
        <v>16</v>
      </c>
      <c r="I245" s="40" t="s">
        <v>448</v>
      </c>
    </row>
    <row r="246" spans="1:9" customFormat="1" ht="64.349999999999994" customHeight="1" x14ac:dyDescent="0.2">
      <c r="A246" s="9" t="s">
        <v>255</v>
      </c>
      <c r="B246" s="20" t="s">
        <v>372</v>
      </c>
      <c r="C246" s="34"/>
      <c r="D246" s="34"/>
      <c r="E246" s="34"/>
      <c r="F246" s="21"/>
      <c r="G246" s="61"/>
      <c r="H246" s="40"/>
      <c r="I246" s="40"/>
    </row>
    <row r="247" spans="1:9" customFormat="1" ht="64.349999999999994" customHeight="1" x14ac:dyDescent="0.2">
      <c r="A247" s="9" t="s">
        <v>265</v>
      </c>
      <c r="B247" s="4" t="s">
        <v>141</v>
      </c>
      <c r="C247" s="34"/>
      <c r="D247" s="34"/>
      <c r="E247" s="34"/>
      <c r="F247" s="21"/>
      <c r="G247" s="61" t="str">
        <f>IF(C247="","",IF(C247="Yes","Please describe how the antivirus is maintained and kept up-to-date.","Please describe any plans to install antivirus on all end nodes."))</f>
        <v/>
      </c>
      <c r="H247" s="40"/>
      <c r="I247" s="40"/>
    </row>
    <row r="248" spans="1:9" customFormat="1" ht="64.349999999999994" customHeight="1" x14ac:dyDescent="0.2">
      <c r="A248" s="9" t="s">
        <v>286</v>
      </c>
      <c r="B248" s="4" t="s">
        <v>171</v>
      </c>
      <c r="C248" s="34"/>
      <c r="D248" s="34"/>
      <c r="E248" s="34"/>
      <c r="F248" s="15"/>
      <c r="G248" s="61" t="str">
        <f>IF(C248="","",IF(C248="Yes","Please describe your endpoint protection strategy.","Please describe your endpoint protection strategy."))</f>
        <v/>
      </c>
      <c r="H248" s="40"/>
      <c r="I248" s="40"/>
    </row>
    <row r="249" spans="1:9" customFormat="1" ht="64.349999999999994" customHeight="1" x14ac:dyDescent="0.2">
      <c r="A249" s="9" t="s">
        <v>289</v>
      </c>
      <c r="B249" s="4" t="s">
        <v>139</v>
      </c>
      <c r="C249" s="34"/>
      <c r="D249" s="34"/>
      <c r="E249" s="34"/>
      <c r="F249" s="15"/>
      <c r="G249" s="62" t="str">
        <f>IF(C249="","",IF(C249="Yes","Describe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9" s="40"/>
      <c r="I249" s="40"/>
    </row>
    <row r="250" spans="1:9" customFormat="1" ht="64.349999999999994" customHeight="1" x14ac:dyDescent="0.2">
      <c r="A250" s="9" t="s">
        <v>293</v>
      </c>
      <c r="B250" s="5" t="s">
        <v>148</v>
      </c>
      <c r="C250" s="34"/>
      <c r="D250" s="34"/>
      <c r="E250" s="34"/>
      <c r="F250" s="15"/>
      <c r="G250" s="62" t="str">
        <f>IF(C250="","",IF(C250="Yes","Please provide a copy of the most recent audit.","State any plans to have a SOC 2 Type II audit conducted."))</f>
        <v/>
      </c>
      <c r="H250" s="40"/>
      <c r="I250" s="40"/>
    </row>
    <row r="251" spans="1:9" customFormat="1" ht="64.349999999999994" customHeight="1" x14ac:dyDescent="0.2">
      <c r="A251" s="9" t="s">
        <v>294</v>
      </c>
      <c r="B251" s="5" t="s">
        <v>580</v>
      </c>
      <c r="C251" s="34"/>
      <c r="D251" s="34"/>
      <c r="E251" s="34"/>
      <c r="F251" s="15"/>
      <c r="G251" s="62" t="str">
        <f>IF(C251="","",IF(C251="Yes","Please provide any currently effective certifications.","State any plans to obtain such compliance certifications."))</f>
        <v/>
      </c>
      <c r="H251" s="40"/>
      <c r="I251" s="40"/>
    </row>
    <row r="252" spans="1:9" customFormat="1" ht="64.349999999999994" customHeight="1" x14ac:dyDescent="0.2">
      <c r="A252" s="9" t="s">
        <v>306</v>
      </c>
      <c r="B252" s="5" t="s">
        <v>268</v>
      </c>
      <c r="C252" s="34"/>
      <c r="D252" s="34"/>
      <c r="E252" s="34"/>
      <c r="F252" s="15"/>
      <c r="G252" s="61"/>
      <c r="H252" s="40"/>
      <c r="I252" s="40"/>
    </row>
    <row r="253" spans="1:9" customFormat="1" ht="64.349999999999994" customHeight="1" x14ac:dyDescent="0.2">
      <c r="A253" s="9" t="s">
        <v>318</v>
      </c>
      <c r="B253" s="4" t="s">
        <v>581</v>
      </c>
      <c r="C253" s="34"/>
      <c r="D253" s="34"/>
      <c r="E253" s="34"/>
      <c r="F253" s="15"/>
      <c r="G253" s="61" t="str">
        <f>IF(C253="","",IF(C253="Yes","Provide a detailed summary outlining the security controls implemented to protect the Utility's data.",""))</f>
        <v/>
      </c>
      <c r="H253" s="40"/>
      <c r="I253" s="40"/>
    </row>
    <row r="254" spans="1:9" customFormat="1" ht="64.349999999999994" customHeight="1" x14ac:dyDescent="0.2">
      <c r="A254" s="9" t="s">
        <v>327</v>
      </c>
      <c r="B254" s="4" t="s">
        <v>78</v>
      </c>
      <c r="C254" s="34"/>
      <c r="D254" s="34"/>
      <c r="E254" s="34"/>
      <c r="F254" s="15"/>
      <c r="G254" s="61" t="str">
        <f>IF(C254="","",IF(C254="Yes","State the retention period for security video.","State your plans to retain video monitoring feeds."))</f>
        <v/>
      </c>
      <c r="H254" s="40"/>
      <c r="I254" s="40"/>
    </row>
    <row r="255" spans="1:9" customFormat="1" ht="64.349999999999994" customHeight="1" x14ac:dyDescent="0.2">
      <c r="A255" s="9" t="s">
        <v>331</v>
      </c>
      <c r="B255" s="4" t="s">
        <v>79</v>
      </c>
      <c r="C255" s="34"/>
      <c r="D255" s="34"/>
      <c r="E255" s="34"/>
      <c r="F255" s="15"/>
      <c r="G255" s="61" t="str">
        <f>IF(C255="","",IF(C255="Yes","Summarize your video monitoring strategy for datacenter staff.","Describe plans to have video feed(s) monitored."))</f>
        <v/>
      </c>
      <c r="H255" s="40"/>
      <c r="I255" s="40"/>
    </row>
    <row r="256" spans="1:9" customFormat="1" ht="64.349999999999994" customHeight="1" x14ac:dyDescent="0.2">
      <c r="A256" s="79" t="s">
        <v>333</v>
      </c>
      <c r="B256" s="81" t="s">
        <v>80</v>
      </c>
      <c r="C256" s="82"/>
      <c r="D256" s="82"/>
      <c r="E256" s="82"/>
      <c r="F256" s="83"/>
      <c r="G256" s="81" t="str">
        <f>IF(C256="","",IF(C256="Yes","Summarize your process and procedure for the installation and removal of equipment to/from your environment.","Provide a brief summary for your response."))</f>
        <v/>
      </c>
      <c r="H256" s="84"/>
      <c r="I256" s="84"/>
    </row>
    <row r="257" spans="1:9" customFormat="1" ht="64.349999999999994" customHeight="1" x14ac:dyDescent="0.2">
      <c r="A257" s="9" t="s">
        <v>344</v>
      </c>
      <c r="B257" s="4" t="s">
        <v>517</v>
      </c>
      <c r="C257" s="34"/>
      <c r="D257" s="34"/>
      <c r="E257" s="34"/>
      <c r="F257" s="15"/>
      <c r="G257" s="59" t="str">
        <f>IF(C257="","",IF(C257="Yes","Describe all operating systems that are not currently supported, why they still need to be used (i.e. why they cannot be updated), and methods utilized to secure and maintain them.",""))</f>
        <v/>
      </c>
      <c r="H257" s="40"/>
      <c r="I257" s="40"/>
    </row>
    <row r="258" spans="1:9" customFormat="1" ht="64.349999999999994" customHeight="1" x14ac:dyDescent="0.2">
      <c r="A258" s="9" t="s">
        <v>347</v>
      </c>
      <c r="B258" s="4" t="s">
        <v>582</v>
      </c>
      <c r="C258" s="34"/>
      <c r="D258" s="34"/>
      <c r="E258" s="34"/>
      <c r="F258" s="15"/>
      <c r="G258" s="59" t="str">
        <f>IF(C258="","",IF(C258="Yes","Detail all web browsers that are not currently supported, why they still need to be used (i.e. why they cannot be updated), and methods utilized to secure and maintain them.",""))</f>
        <v/>
      </c>
      <c r="H258" s="40"/>
      <c r="I258" s="40"/>
    </row>
    <row r="259" spans="1:9" customFormat="1" ht="64.349999999999994" customHeight="1" x14ac:dyDescent="0.2">
      <c r="A259" s="9" t="s">
        <v>374</v>
      </c>
      <c r="B259" s="4" t="s">
        <v>84</v>
      </c>
      <c r="C259" s="34"/>
      <c r="D259" s="34"/>
      <c r="E259" s="34"/>
      <c r="F259" s="15"/>
      <c r="G259" s="61" t="str">
        <f>IF(C259="","",IF(C259="Yes","Summarize the information security principles designed into the product lifecycle and how they are integrated.","Describe why security principles are not designed into the product lifecycle."))</f>
        <v/>
      </c>
      <c r="H259" s="40"/>
      <c r="I259" s="40"/>
    </row>
    <row r="260" spans="1:9" customFormat="1" ht="54" x14ac:dyDescent="0.2">
      <c r="A260" s="104" t="s">
        <v>157</v>
      </c>
      <c r="B260" s="104"/>
      <c r="C260" s="3" t="s">
        <v>605</v>
      </c>
      <c r="D260" s="3" t="s">
        <v>606</v>
      </c>
      <c r="E260" s="3" t="s">
        <v>108</v>
      </c>
      <c r="F260" s="3" t="s">
        <v>17</v>
      </c>
      <c r="G260" s="3" t="s">
        <v>18</v>
      </c>
      <c r="H260" s="3" t="s">
        <v>371</v>
      </c>
      <c r="I260" s="3" t="s">
        <v>399</v>
      </c>
    </row>
    <row r="261" spans="1:9" customFormat="1" ht="48" customHeight="1" x14ac:dyDescent="0.2">
      <c r="A261" s="9" t="s">
        <v>87</v>
      </c>
      <c r="B261" s="20" t="s">
        <v>370</v>
      </c>
      <c r="C261" s="34"/>
      <c r="D261" s="34"/>
      <c r="E261" s="34"/>
      <c r="F261" s="15"/>
      <c r="G261" s="61" t="str">
        <f>IF(C261="","",IF(C261="Yes","Describe your external application vulnerability scanning strategy and provide when the last assessment was performed","Describe any plans to implement external vulnerability scanning for your applications."))</f>
        <v/>
      </c>
      <c r="H261" s="40"/>
      <c r="I261" s="40"/>
    </row>
    <row r="262" spans="1:9" customFormat="1" ht="65.099999999999994" customHeight="1" x14ac:dyDescent="0.2">
      <c r="A262" s="9" t="s">
        <v>88</v>
      </c>
      <c r="B262" s="4" t="s">
        <v>90</v>
      </c>
      <c r="C262" s="34"/>
      <c r="D262" s="34"/>
      <c r="E262" s="34"/>
      <c r="F262" s="15"/>
      <c r="G262" s="61" t="str">
        <f>IF(C262="","",IF(C262="Yes","Summarize your vulnerability scanning strategy.","Describe plans to implement application vulnerability scanning prior to release."))</f>
        <v/>
      </c>
      <c r="H262" s="40"/>
      <c r="I262" s="40"/>
    </row>
    <row r="263" spans="1:9" customFormat="1" ht="75" customHeight="1" x14ac:dyDescent="0.2">
      <c r="A263" s="9" t="s">
        <v>89</v>
      </c>
      <c r="B263" s="4" t="s">
        <v>82</v>
      </c>
      <c r="C263" s="34"/>
      <c r="D263" s="34"/>
      <c r="E263" s="34"/>
      <c r="F263" s="15"/>
      <c r="G263" s="63" t="str">
        <f>IF(C263="","",IF(C263="Yes","Provide a list of the results and all tools utilized during static code analysis or static application security testing.","State your plans to implement static code testing practices into your environment."))</f>
        <v/>
      </c>
      <c r="H263" s="40"/>
      <c r="I263" s="40"/>
    </row>
    <row r="264" spans="1:9" customFormat="1" ht="75" customHeight="1" x14ac:dyDescent="0.2">
      <c r="A264" s="79" t="s">
        <v>91</v>
      </c>
      <c r="B264" s="81" t="s">
        <v>583</v>
      </c>
      <c r="C264" s="82"/>
      <c r="D264" s="82"/>
      <c r="E264" s="82"/>
      <c r="F264" s="83"/>
      <c r="G264" s="85" t="str">
        <f>IF(C264="","",IF(C264="Yes","Please link or attach a copy you are willing to share.",""))</f>
        <v/>
      </c>
      <c r="H264" s="84"/>
      <c r="I264" s="84"/>
    </row>
    <row r="265" spans="1:9" customFormat="1" ht="90.95" customHeight="1" x14ac:dyDescent="0.2">
      <c r="A265" s="9" t="s">
        <v>92</v>
      </c>
      <c r="B265" s="20" t="s">
        <v>646</v>
      </c>
      <c r="C265" s="34"/>
      <c r="D265" s="34"/>
      <c r="E265" s="34"/>
      <c r="F265" s="21"/>
      <c r="G265" s="61"/>
      <c r="H265" s="40"/>
      <c r="I265" s="40" t="s">
        <v>498</v>
      </c>
    </row>
    <row r="266" spans="1:9" customFormat="1" ht="90.95" customHeight="1" x14ac:dyDescent="0.2">
      <c r="A266" s="9" t="s">
        <v>93</v>
      </c>
      <c r="B266" s="20" t="s">
        <v>584</v>
      </c>
      <c r="C266" s="34"/>
      <c r="D266" s="34"/>
      <c r="E266" s="34"/>
      <c r="F266" s="21"/>
      <c r="G266" s="59" t="str">
        <f>IF(C266="","",IF(C266="Yes","Please descibe in adequate detail, including timeframe for notification.",""))</f>
        <v/>
      </c>
      <c r="H266" s="40">
        <v>57</v>
      </c>
      <c r="I266" s="40" t="s">
        <v>500</v>
      </c>
    </row>
    <row r="267" spans="1:9" customFormat="1" ht="90.95" customHeight="1" x14ac:dyDescent="0.2">
      <c r="A267" s="9" t="s">
        <v>94</v>
      </c>
      <c r="B267" s="20" t="s">
        <v>647</v>
      </c>
      <c r="C267" s="34"/>
      <c r="D267" s="34"/>
      <c r="E267" s="34"/>
      <c r="F267" s="21"/>
      <c r="G267" s="59"/>
      <c r="H267" s="40"/>
      <c r="I267" s="40"/>
    </row>
    <row r="268" spans="1:9" customFormat="1" ht="90.95" customHeight="1" x14ac:dyDescent="0.2">
      <c r="A268" s="9" t="s">
        <v>95</v>
      </c>
      <c r="B268" s="20" t="s">
        <v>648</v>
      </c>
      <c r="C268" s="34"/>
      <c r="D268" s="34"/>
      <c r="E268" s="34"/>
      <c r="F268" s="21"/>
      <c r="G268" s="59"/>
      <c r="H268" s="40"/>
      <c r="I268" s="40"/>
    </row>
    <row r="269" spans="1:9" customFormat="1" ht="48" customHeight="1" x14ac:dyDescent="0.2">
      <c r="A269" s="9" t="s">
        <v>256</v>
      </c>
      <c r="B269" s="4" t="s">
        <v>121</v>
      </c>
      <c r="C269" s="34"/>
      <c r="D269" s="34"/>
      <c r="E269" s="34"/>
      <c r="F269" s="15"/>
      <c r="G269" s="61" t="str">
        <f>IF(C269="","",IF(C269="Yes","State the date of your most recent external application assessment.","Describe any plans to have application external assessment(s) performed on your systems."))</f>
        <v/>
      </c>
      <c r="H269" s="40"/>
      <c r="I269" s="40"/>
    </row>
    <row r="270" spans="1:9" customFormat="1" ht="49.35" customHeight="1" x14ac:dyDescent="0.2">
      <c r="A270" s="9" t="s">
        <v>257</v>
      </c>
      <c r="B270" s="4" t="s">
        <v>122</v>
      </c>
      <c r="C270" s="34"/>
      <c r="D270" s="34"/>
      <c r="E270" s="34"/>
      <c r="F270" s="15"/>
      <c r="G270" s="61" t="str">
        <f>IF(C270="","",IF(C270="Yes","Decribe your external system vulnerability scanning strategy, including the frequency of both types of scans.","Describe any plans to implement vulnerability scanning for your systems."))</f>
        <v/>
      </c>
      <c r="H270" s="40" t="s">
        <v>614</v>
      </c>
      <c r="I270" s="40" t="s">
        <v>493</v>
      </c>
    </row>
    <row r="271" spans="1:9" customFormat="1" ht="48" customHeight="1" x14ac:dyDescent="0.2">
      <c r="A271" s="9" t="s">
        <v>258</v>
      </c>
      <c r="B271" s="4" t="s">
        <v>123</v>
      </c>
      <c r="C271" s="34"/>
      <c r="D271" s="34"/>
      <c r="E271" s="34"/>
      <c r="F271" s="15"/>
      <c r="G271" s="61" t="str">
        <f>IF(C271="","",IF(C271="Yes","State the date of your most recent system external assessment.","Describe any plans to have system external assessment(s) performed on your systems."))</f>
        <v/>
      </c>
      <c r="H271" s="40"/>
      <c r="I271" s="40"/>
    </row>
    <row r="272" spans="1:9" customFormat="1" ht="65.099999999999994" customHeight="1" x14ac:dyDescent="0.2">
      <c r="A272" s="9" t="s">
        <v>259</v>
      </c>
      <c r="B272" s="4" t="s">
        <v>98</v>
      </c>
      <c r="C272" s="34"/>
      <c r="D272" s="34"/>
      <c r="E272" s="34"/>
      <c r="F272" s="14"/>
      <c r="G272" s="61" t="s">
        <v>612</v>
      </c>
      <c r="H272" s="40"/>
      <c r="I272" s="40"/>
    </row>
    <row r="273" spans="1:172" customFormat="1" ht="48" customHeight="1" x14ac:dyDescent="0.2">
      <c r="A273" s="9" t="s">
        <v>260</v>
      </c>
      <c r="B273" s="4" t="s">
        <v>585</v>
      </c>
      <c r="C273" s="34"/>
      <c r="D273" s="34"/>
      <c r="E273" s="34"/>
      <c r="F273" s="15"/>
      <c r="G273" s="61" t="str">
        <f>IF(C273="","",IF(C273="Yes","Provide a reference to or attach security scan documentation.","Describe why security scan results will not be provided to the Utility."))</f>
        <v/>
      </c>
      <c r="H273" s="40"/>
      <c r="I273" s="40"/>
    </row>
    <row r="274" spans="1:172" customFormat="1" ht="54" customHeight="1" x14ac:dyDescent="0.2">
      <c r="A274" s="9" t="s">
        <v>261</v>
      </c>
      <c r="B274" s="4" t="s">
        <v>586</v>
      </c>
      <c r="C274" s="34"/>
      <c r="D274" s="34"/>
      <c r="E274" s="34"/>
      <c r="F274" s="15"/>
      <c r="G274" s="61" t="str">
        <f>IF(C274="","",IF(C274="Yes","Provide reference to the process or procedure to setup security testing times and scopes.","Provide a brief summary for your response."))</f>
        <v/>
      </c>
      <c r="H274" s="40"/>
      <c r="I274" s="40"/>
    </row>
    <row r="275" spans="1:172" customFormat="1" ht="75" customHeight="1" x14ac:dyDescent="0.2">
      <c r="A275" s="9" t="s">
        <v>326</v>
      </c>
      <c r="B275" s="4" t="s">
        <v>83</v>
      </c>
      <c r="C275" s="34"/>
      <c r="D275" s="34"/>
      <c r="E275" s="34"/>
      <c r="F275" s="15"/>
      <c r="G275" s="63" t="str">
        <f>IF(C275="","",IF(C275="Yes","Describe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5" s="40"/>
      <c r="I275" s="40" t="s">
        <v>435</v>
      </c>
    </row>
    <row r="276" spans="1:172" customFormat="1" ht="75" customHeight="1" x14ac:dyDescent="0.2">
      <c r="A276" s="9" t="s">
        <v>337</v>
      </c>
      <c r="B276" s="4" t="s">
        <v>85</v>
      </c>
      <c r="C276" s="34"/>
      <c r="D276" s="34"/>
      <c r="E276" s="34"/>
      <c r="F276" s="15"/>
      <c r="G276" s="63" t="str">
        <f>IF(C276="","",IF(C276="Yes","Describe or provide a reference to/attach your system development life cycle methodology including your environments, version control, and change management (if not already covered in the Change Management section).","Describe any plans to implement a documented SDLC."))</f>
        <v/>
      </c>
      <c r="H276" s="40"/>
      <c r="I276" s="40"/>
    </row>
    <row r="277" spans="1:172" customFormat="1" ht="75" customHeight="1" x14ac:dyDescent="0.2">
      <c r="A277" s="9" t="s">
        <v>340</v>
      </c>
      <c r="B277" s="4" t="s">
        <v>107</v>
      </c>
      <c r="C277" s="34"/>
      <c r="D277" s="34"/>
      <c r="E277" s="34"/>
      <c r="F277" s="15"/>
      <c r="G277" s="63"/>
      <c r="H277" s="40"/>
      <c r="I277" s="40"/>
    </row>
    <row r="278" spans="1:172" customFormat="1" ht="75" customHeight="1" x14ac:dyDescent="0.2">
      <c r="A278" s="9" t="s">
        <v>341</v>
      </c>
      <c r="B278" s="4" t="s">
        <v>636</v>
      </c>
      <c r="C278" s="34"/>
      <c r="D278" s="34"/>
      <c r="E278" s="34"/>
      <c r="F278" s="14"/>
      <c r="G278" s="59" t="str">
        <f>IF(C278="","",IF(C278="Yes","Please provide information on the pentetration testing (i.e., when was the test conducted, key findings, etc.).","Please detail any current plans to conduct third-party penetration testing."))</f>
        <v/>
      </c>
      <c r="H278" s="40"/>
      <c r="I278" s="40"/>
    </row>
    <row r="279" spans="1:172" customFormat="1" ht="54" x14ac:dyDescent="0.2">
      <c r="A279" s="104" t="s">
        <v>143</v>
      </c>
      <c r="B279" s="104"/>
      <c r="C279" s="3" t="s">
        <v>605</v>
      </c>
      <c r="D279" s="3" t="s">
        <v>606</v>
      </c>
      <c r="E279" s="3" t="s">
        <v>108</v>
      </c>
      <c r="F279" s="3" t="s">
        <v>17</v>
      </c>
      <c r="G279" s="3" t="s">
        <v>18</v>
      </c>
      <c r="H279" s="3" t="s">
        <v>371</v>
      </c>
      <c r="I279" s="3" t="s">
        <v>399</v>
      </c>
    </row>
    <row r="280" spans="1:172" customFormat="1" ht="45.75" customHeight="1" x14ac:dyDescent="0.2">
      <c r="A280" s="9" t="s">
        <v>144</v>
      </c>
      <c r="B280" s="4" t="s">
        <v>147</v>
      </c>
      <c r="C280" s="15"/>
      <c r="D280" s="15"/>
      <c r="E280" s="15"/>
      <c r="F280" s="15"/>
      <c r="G280" s="61"/>
      <c r="H280" s="42"/>
      <c r="I280" s="43"/>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row>
  </sheetData>
  <mergeCells count="67">
    <mergeCell ref="C61:F61"/>
    <mergeCell ref="C62:F62"/>
    <mergeCell ref="C63:F63"/>
    <mergeCell ref="C74:F74"/>
    <mergeCell ref="A279:B279"/>
    <mergeCell ref="A182:B182"/>
    <mergeCell ref="A208:B208"/>
    <mergeCell ref="A221:B221"/>
    <mergeCell ref="A232:B232"/>
    <mergeCell ref="A260:B260"/>
    <mergeCell ref="A157:B157"/>
    <mergeCell ref="C79:E79"/>
    <mergeCell ref="C71:E71"/>
    <mergeCell ref="C75:F75"/>
    <mergeCell ref="C87:F87"/>
    <mergeCell ref="C88:E88"/>
    <mergeCell ref="C89:E89"/>
    <mergeCell ref="A90:B90"/>
    <mergeCell ref="C115:F115"/>
    <mergeCell ref="A76:B76"/>
    <mergeCell ref="C77:E77"/>
    <mergeCell ref="C80:F80"/>
    <mergeCell ref="C85:E85"/>
    <mergeCell ref="C86:E86"/>
    <mergeCell ref="C78:E78"/>
    <mergeCell ref="A60:B60"/>
    <mergeCell ref="C41:I41"/>
    <mergeCell ref="A42:I42"/>
    <mergeCell ref="C40:I40"/>
    <mergeCell ref="C59:F59"/>
    <mergeCell ref="A2:B2"/>
    <mergeCell ref="A121:B121"/>
    <mergeCell ref="A142:B142"/>
    <mergeCell ref="A1:F1"/>
    <mergeCell ref="A27:G27"/>
    <mergeCell ref="B39:G39"/>
    <mergeCell ref="C24:I24"/>
    <mergeCell ref="C25:I25"/>
    <mergeCell ref="A26:I26"/>
    <mergeCell ref="C2:I2"/>
    <mergeCell ref="A4:I4"/>
    <mergeCell ref="A3:I3"/>
    <mergeCell ref="A5:I5"/>
    <mergeCell ref="C6:I6"/>
    <mergeCell ref="C11:I11"/>
    <mergeCell ref="C12:I12"/>
    <mergeCell ref="C14:I14"/>
    <mergeCell ref="C7:I7"/>
    <mergeCell ref="C8:I8"/>
    <mergeCell ref="C9:I9"/>
    <mergeCell ref="C10:I10"/>
    <mergeCell ref="C13:I13"/>
    <mergeCell ref="C15:I15"/>
    <mergeCell ref="C16:I16"/>
    <mergeCell ref="C17:I17"/>
    <mergeCell ref="C18:I18"/>
    <mergeCell ref="C19:I19"/>
    <mergeCell ref="C20:I20"/>
    <mergeCell ref="C48:F48"/>
    <mergeCell ref="C47:F47"/>
    <mergeCell ref="A44:B44"/>
    <mergeCell ref="C46:F46"/>
    <mergeCell ref="C45:E45"/>
    <mergeCell ref="C21:I21"/>
    <mergeCell ref="A43:I43"/>
    <mergeCell ref="C22:I22"/>
    <mergeCell ref="C23:I23"/>
  </mergeCells>
  <phoneticPr fontId="30" type="noConversion"/>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26</xdr:row>
                    <xdr:rowOff>219075</xdr:rowOff>
                  </from>
                  <to>
                    <xdr:col>0</xdr:col>
                    <xdr:colOff>695325</xdr:colOff>
                    <xdr:row>28</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30</xdr:row>
                    <xdr:rowOff>190500</xdr:rowOff>
                  </from>
                  <to>
                    <xdr:col>0</xdr:col>
                    <xdr:colOff>695325</xdr:colOff>
                    <xdr:row>32</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29</xdr:row>
                    <xdr:rowOff>190500</xdr:rowOff>
                  </from>
                  <to>
                    <xdr:col>0</xdr:col>
                    <xdr:colOff>695325</xdr:colOff>
                    <xdr:row>31</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C45:E45 C64:E73 C177:E181 C81:E86 C88:E89 C113:E114 C52:E58 C205:E207 C224:E231 C150:E156 C119:E120 C77:E79 C183:E201 C261:E278 C92:E110 C116:E117 C233:E259 C203:E203 C222:E222 C143:E148 C158:E166 C168:E169 C171:E175 C209:E220 C122:E141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A5330AFE-EE77-4D17-BEE5-D03312FE0F78}">
  <ds:schemaRefs>
    <ds:schemaRef ds:uri="http://purl.org/dc/elements/1.1/"/>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6dbdea58-36ce-4410-95f9-7df5ed4dea3b"/>
    <ds:schemaRef ds:uri="http://www.w3.org/XML/1998/namespace"/>
  </ds:schemaRefs>
</ds:datastoreItem>
</file>

<file path=customXml/itemProps3.xml><?xml version="1.0" encoding="utf-8"?>
<ds:datastoreItem xmlns:ds="http://schemas.openxmlformats.org/officeDocument/2006/customXml" ds:itemID="{428BE70B-B7C1-42FA-B200-A2259E8E28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dea58-36ce-4410-95f9-7df5ed4dea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2022-05-20T18:07:13Z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ies>
</file>