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xr:revisionPtr revIDLastSave="0" documentId="13_ncr:1_{923C5AAB-5052-466D-B4C3-D0E5ADDB2309}" xr6:coauthVersionLast="47" xr6:coauthVersionMax="47" xr10:uidLastSave="{00000000-0000-0000-0000-000000000000}"/>
  <bookViews>
    <workbookView xWindow="-100" yWindow="-100" windowWidth="21467" windowHeight="11576" firstSheet="1" activeTab="1" xr2:uid="{00000000-000D-0000-FFFF-FFFF00000000}"/>
  </bookViews>
  <sheets>
    <sheet name="Lists" sheetId="5" state="hidden" r:id="rId1"/>
    <sheet name="Confidentiality" sheetId="6" r:id="rId2"/>
    <sheet name="Questions" sheetId="1" r:id="rId3"/>
  </sheets>
  <definedNames>
    <definedName name="_xlnm._FilterDatabase" localSheetId="2" hidden="1">Questions!$A$44:$FV$278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6" i="1" l="1"/>
  <c r="G274" i="1"/>
  <c r="G273" i="1"/>
  <c r="G272" i="1"/>
  <c r="G271" i="1"/>
  <c r="G269" i="1"/>
  <c r="G268" i="1"/>
  <c r="G267" i="1"/>
  <c r="G264" i="1"/>
  <c r="G262" i="1"/>
  <c r="G261" i="1"/>
  <c r="G260" i="1"/>
  <c r="G259" i="1"/>
  <c r="G257" i="1"/>
  <c r="G256" i="1"/>
  <c r="G255" i="1"/>
  <c r="G254" i="1"/>
  <c r="G253" i="1"/>
  <c r="G252" i="1"/>
  <c r="G251" i="1"/>
  <c r="G249" i="1"/>
  <c r="G248" i="1"/>
  <c r="G247" i="1"/>
  <c r="G246" i="1"/>
  <c r="G245" i="1"/>
  <c r="G243" i="1"/>
  <c r="G239" i="1"/>
  <c r="G234" i="1"/>
  <c r="G233" i="1"/>
  <c r="G232" i="1"/>
  <c r="G231" i="1"/>
  <c r="G229" i="1"/>
  <c r="G228" i="1"/>
  <c r="G227" i="1"/>
  <c r="G226" i="1"/>
  <c r="G225" i="1"/>
  <c r="G224" i="1"/>
  <c r="G223" i="1"/>
  <c r="G222" i="1"/>
  <c r="G217" i="1"/>
  <c r="G211" i="1"/>
  <c r="G207" i="1"/>
  <c r="G204" i="1"/>
  <c r="G202" i="1"/>
  <c r="G200" i="1"/>
  <c r="G198" i="1"/>
  <c r="G197" i="1"/>
  <c r="G196" i="1"/>
  <c r="G194" i="1"/>
  <c r="G193" i="1"/>
  <c r="G192" i="1"/>
  <c r="G191" i="1"/>
  <c r="G189" i="1"/>
  <c r="G188" i="1"/>
  <c r="G185" i="1"/>
  <c r="G184" i="1"/>
  <c r="G182" i="1"/>
  <c r="G172" i="1"/>
  <c r="G170" i="1"/>
  <c r="G168" i="1"/>
  <c r="G167" i="1"/>
  <c r="G165" i="1"/>
  <c r="G164" i="1"/>
  <c r="G163" i="1"/>
  <c r="G161" i="1"/>
  <c r="G159" i="1"/>
  <c r="G158" i="1"/>
  <c r="G157" i="1"/>
  <c r="G155" i="1"/>
  <c r="G154" i="1"/>
  <c r="G153" i="1"/>
  <c r="G152" i="1"/>
  <c r="G151" i="1"/>
  <c r="G150" i="1"/>
  <c r="G149" i="1"/>
  <c r="G147" i="1"/>
  <c r="G146" i="1"/>
  <c r="G143" i="1"/>
  <c r="G142" i="1"/>
  <c r="G140" i="1"/>
  <c r="G139" i="1"/>
  <c r="G138" i="1"/>
  <c r="G137" i="1"/>
  <c r="G136" i="1"/>
  <c r="G135" i="1"/>
  <c r="G134" i="1"/>
  <c r="G133" i="1"/>
  <c r="G130" i="1"/>
  <c r="G128" i="1"/>
  <c r="G127" i="1"/>
  <c r="G126" i="1"/>
  <c r="G125" i="1"/>
  <c r="G124" i="1"/>
  <c r="G123" i="1"/>
  <c r="G122" i="1"/>
  <c r="G120" i="1"/>
  <c r="G119" i="1"/>
  <c r="G117" i="1"/>
  <c r="G116" i="1"/>
  <c r="G114" i="1"/>
  <c r="G113" i="1"/>
  <c r="G110" i="1"/>
  <c r="G109" i="1"/>
  <c r="G108" i="1"/>
  <c r="G107" i="1"/>
  <c r="G106" i="1"/>
  <c r="G105" i="1"/>
  <c r="G104" i="1"/>
  <c r="G103" i="1"/>
  <c r="G102" i="1"/>
  <c r="G101" i="1"/>
  <c r="G99" i="1"/>
  <c r="G98" i="1"/>
  <c r="G97" i="1"/>
  <c r="G94" i="1"/>
  <c r="G93" i="1"/>
  <c r="G92" i="1"/>
  <c r="G89" i="1"/>
  <c r="G88" i="1"/>
  <c r="G85" i="1"/>
  <c r="G78" i="1"/>
  <c r="G77" i="1"/>
  <c r="G72" i="1"/>
  <c r="G71" i="1"/>
  <c r="G70" i="1"/>
  <c r="G68" i="1"/>
  <c r="G67" i="1"/>
  <c r="G66" i="1"/>
  <c r="G65" i="1"/>
  <c r="G64" i="1"/>
  <c r="G58" i="1"/>
  <c r="G57" i="1"/>
  <c r="G53" i="1"/>
  <c r="G52" i="1"/>
</calcChain>
</file>

<file path=xl/sharedStrings.xml><?xml version="1.0" encoding="utf-8"?>
<sst xmlns="http://schemas.openxmlformats.org/spreadsheetml/2006/main" count="769" uniqueCount="666">
  <si>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</si>
  <si>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</si>
  <si>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</si>
  <si>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</si>
  <si>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</si>
  <si>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</si>
  <si>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</si>
  <si>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</si>
  <si>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</si>
  <si>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</si>
  <si>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</si>
  <si>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</si>
  <si>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</si>
  <si>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</si>
  <si>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</si>
  <si>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</si>
  <si>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</si>
  <si>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Additional Information</t>
  </si>
  <si>
    <t>Guidance</t>
  </si>
  <si>
    <t>Company Overview</t>
  </si>
  <si>
    <t>Describe your organization’s business background and ownership structure, including all parent and subsidiary relationships.</t>
  </si>
  <si>
    <t>Include circumstances that may involve off-shoring or multi-national agreements.</t>
  </si>
  <si>
    <t>COMP-02</t>
  </si>
  <si>
    <t>Describe how long your organization has conducted business in this product area.</t>
  </si>
  <si>
    <t>Include the number of years and in what capacity.</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</si>
  <si>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</si>
  <si>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</si>
  <si>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</si>
  <si>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</si>
  <si>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</si>
  <si>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</si>
  <si>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</si>
  <si>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</si>
  <si>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</si>
  <si>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</si>
  <si>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</si>
  <si>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</si>
  <si>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</si>
  <si>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</si>
  <si>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</si>
  <si>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</si>
  <si>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</si>
  <si>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</si>
  <si>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</si>
  <si>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</si>
  <si>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</si>
  <si>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</si>
  <si>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</si>
  <si>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</si>
  <si>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</si>
  <si>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</si>
  <si>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</si>
  <si>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</si>
  <si>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</si>
  <si>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</si>
  <si>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</si>
  <si>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</si>
  <si>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</si>
  <si>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</si>
  <si>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</si>
  <si>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</si>
  <si>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</si>
  <si>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</si>
  <si>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</si>
  <si>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</si>
  <si>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</si>
  <si>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</si>
  <si>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</si>
  <si>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</si>
  <si>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</si>
  <si>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</si>
  <si>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Is the service hosted in a high availability environment?</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</si>
  <si>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</si>
  <si>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</si>
  <si>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</si>
  <si>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</si>
  <si>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</si>
  <si>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</si>
  <si>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</si>
  <si>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</si>
  <si>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Are individuals required to sign in/out for installation and removal of equipment?</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</si>
  <si>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</si>
  <si>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</si>
  <si>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</si>
  <si>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</si>
  <si>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</si>
  <si>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</si>
  <si>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</si>
  <si>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</si>
  <si>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</si>
  <si>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</si>
  <si>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VULN-04</t>
  </si>
  <si>
    <t>VULN-05</t>
  </si>
  <si>
    <t>VULN-06</t>
  </si>
  <si>
    <t>VULN-07</t>
  </si>
  <si>
    <t>VULN-08</t>
  </si>
  <si>
    <t>GNRL-13</t>
  </si>
  <si>
    <t>Do you have existing energy sector customers?</t>
  </si>
  <si>
    <t xml:space="preserve">Do you require new employees to fill out agreements and review information security policies?  </t>
  </si>
  <si>
    <t xml:space="preserve">Describe or provide a reference to the tool(s) used to scan for vulnerabilities in your applications and systems. </t>
  </si>
  <si>
    <t>Personally Identifiable Information (PII)</t>
  </si>
  <si>
    <t>Credit Card Data/PCI</t>
  </si>
  <si>
    <t xml:space="preserve">Payroll Records </t>
  </si>
  <si>
    <t>Customer Account Information</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</si>
  <si>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</si>
  <si>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</si>
  <si>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</si>
  <si>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</si>
  <si>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</si>
  <si>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</si>
  <si>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</si>
  <si>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Does your organization have a data privacy policy that applies to your computing systems?</t>
  </si>
  <si>
    <t>Can employees associated with the computing system access customer data/systems remotely?</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</si>
  <si>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</si>
  <si>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</si>
  <si>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</si>
  <si>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</si>
  <si>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</si>
  <si>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Does your computing system have user account passwords/passphrases stored encrypted?</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</si>
  <si>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</si>
  <si>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</si>
  <si>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</si>
  <si>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processes in place to handle utility data in a CUI or CEII compliant manner?</t>
  </si>
  <si>
    <t>Have your applications had a vulnerability assessment in the last year?</t>
  </si>
  <si>
    <t>Are your computing systems scanned externally and internally for vulnerabilities?</t>
  </si>
  <si>
    <t>Have your computing systems had an vulnerability assessment in the last year?</t>
  </si>
  <si>
    <r>
      <t>Date Submitted:</t>
    </r>
    <r>
      <rPr>
        <b/>
        <sz val="12"/>
        <color theme="0"/>
        <rFont val="Verdana"/>
        <family val="2"/>
      </rPr>
      <t xml:space="preserve">_ </t>
    </r>
    <r>
      <rPr>
        <b/>
        <sz val="12"/>
        <color theme="1"/>
        <rFont val="Verdana"/>
        <family val="2"/>
      </rPr>
      <t xml:space="preserve">   </t>
    </r>
  </si>
  <si>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</si>
  <si>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</si>
  <si>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</si>
  <si>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</si>
  <si>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</si>
  <si>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</si>
  <si>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</si>
  <si>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</si>
  <si>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Does the process described in question above adhere to DoD 5220.22-M and/or NIST SP 800-88 standards?</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</si>
  <si>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</si>
  <si>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</si>
  <si>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</si>
  <si>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</si>
  <si>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</si>
  <si>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</si>
  <si>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</si>
  <si>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</si>
  <si>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Is security awareness and privacy training mandatory for all employees?</t>
  </si>
  <si>
    <t>Describe your authentication and authorization processes.</t>
  </si>
  <si>
    <t>Have your systems undergone third-party penetration testing?</t>
  </si>
  <si>
    <t>Do you have up-to-date antivirus on all end nodes?</t>
  </si>
  <si>
    <t>Are structured databases encrypted?</t>
  </si>
  <si>
    <t>Additional Comments</t>
  </si>
  <si>
    <t>AC-1</t>
  </si>
  <si>
    <t>Geolocation of Data Centers in Which Utility Data Will Be Stored</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</si>
  <si>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</si>
  <si>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</si>
  <si>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</si>
  <si>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</si>
  <si>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</si>
  <si>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</si>
  <si>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</si>
  <si>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</si>
  <si>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</si>
  <si>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</si>
  <si>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</si>
  <si>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</si>
  <si>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</si>
  <si>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</si>
  <si>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</si>
  <si>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</si>
  <si>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</si>
  <si>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Are development environments and systems separate from the main corporate network and any other networks?</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</si>
  <si>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</si>
  <si>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</si>
  <si>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</si>
  <si>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</si>
  <si>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</si>
  <si>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</si>
  <si>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</si>
  <si>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</si>
  <si>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</si>
  <si>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</si>
  <si>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</si>
  <si>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</si>
  <si>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</si>
  <si>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</si>
  <si>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</si>
  <si>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</si>
  <si>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</si>
  <si>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</si>
  <si>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</si>
  <si>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</si>
  <si>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</si>
  <si>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</si>
  <si>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</si>
  <si>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</si>
  <si>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</si>
  <si>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IAM-14</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</si>
  <si>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</si>
  <si>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</si>
  <si>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</si>
  <si>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</si>
  <si>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</si>
  <si>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</si>
  <si>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</si>
  <si>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</si>
  <si>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</si>
  <si>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</si>
  <si>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</si>
  <si>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</si>
  <si>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</si>
  <si>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</si>
  <si>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</si>
  <si>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</si>
  <si>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</si>
  <si>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</si>
  <si>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</si>
  <si>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</si>
  <si>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</si>
  <si>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</si>
  <si>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</si>
  <si>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</si>
  <si>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</si>
  <si>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</si>
  <si>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</si>
  <si>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</si>
  <si>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</si>
  <si>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</si>
  <si>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</si>
  <si>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</si>
  <si>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</si>
  <si>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</si>
  <si>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</si>
  <si>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</si>
  <si>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</si>
  <si>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</si>
  <si>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</si>
  <si>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</si>
  <si>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</si>
  <si>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</si>
  <si>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</si>
  <si>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</si>
  <si>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</si>
  <si>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</si>
  <si>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</si>
  <si>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</si>
  <si>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</si>
  <si>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</si>
  <si>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</si>
  <si>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</si>
  <si>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</si>
  <si>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</si>
  <si>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</si>
  <si>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</si>
  <si>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</si>
  <si>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</si>
  <si>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</si>
  <si>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</si>
  <si>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</si>
  <si>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</si>
  <si>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</si>
  <si>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</si>
  <si>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</si>
  <si>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</si>
  <si>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</si>
  <si>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VULN-09</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</si>
  <si>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</si>
  <si>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</si>
  <si>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</si>
  <si>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</si>
  <si>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</si>
  <si>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</si>
  <si>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</si>
  <si>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</si>
  <si>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RISK-15</t>
  </si>
  <si>
    <t>Share any details that would help information security analysts assess your product/services.</t>
  </si>
  <si>
    <t>Please include failover and disaster recovery sites.</t>
  </si>
  <si>
    <t>Do you monitor for intrusions on a 24x7x365 basis?</t>
  </si>
  <si>
    <r>
      <t xml:space="preserve">Are your computing systems compliant with FISMA standards? Or, in the case of products configured by the utility client, do your products include features and capabilities that are in line with FISMA standards? </t>
    </r>
    <r>
      <rPr>
        <b/>
        <sz val="11"/>
        <color rgb="FF000000"/>
        <rFont val="Verdana"/>
        <family val="2"/>
      </rPr>
      <t>More information on FIMSA</t>
    </r>
    <r>
      <rPr>
        <sz val="11"/>
        <color rgb="FF000000"/>
        <rFont val="Verdana"/>
        <family val="2"/>
      </rPr>
      <t>: http://www.dhs.gov/FISMA</t>
    </r>
  </si>
  <si>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</si>
  <si>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</si>
  <si>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</si>
  <si>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</si>
  <si>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</si>
  <si>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</si>
  <si>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</si>
  <si>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</si>
  <si>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</si>
  <si>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</si>
  <si>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</si>
  <si>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</si>
  <si>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</si>
  <si>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</si>
  <si>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</si>
  <si>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</si>
  <si>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</si>
  <si>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</si>
  <si>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</si>
  <si>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</si>
  <si>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</si>
  <si>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</si>
  <si>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</si>
  <si>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</si>
  <si>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</si>
  <si>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</si>
  <si>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</si>
  <si>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</si>
  <si>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</si>
  <si>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</si>
  <si>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</si>
  <si>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</si>
  <si>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</si>
  <si>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Do you have a process through which you recommend actions to be taken by you and/or your customer on a customer-controlled system to reduce the risk of recurrence of the same or similar security incident, including, as appropriate, the provision of action plans and mitigating controls?</t>
  </si>
  <si>
    <t>IAM-25</t>
  </si>
  <si>
    <t>IAM-26</t>
  </si>
  <si>
    <t>IAM-27</t>
  </si>
  <si>
    <t>Where you are connected to other utility's systems, do you ensure that there is no undisclosed path or bridge into utility's systems from other utility's system through you?</t>
  </si>
  <si>
    <t>RISK-20</t>
  </si>
  <si>
    <t>Do you provide inspection process documents for the utility to receive equipment?</t>
  </si>
  <si>
    <t>COMP-08</t>
  </si>
  <si>
    <t>Do you have a process in place to notify utility customers of any mergers and acquisitions as soon as legally permissible?</t>
  </si>
  <si>
    <t>EIR-05</t>
  </si>
  <si>
    <t>EIR-06</t>
  </si>
  <si>
    <t>EIR-04</t>
  </si>
  <si>
    <t>Do you review and update your cyber security incident response plan at least annually?</t>
  </si>
  <si>
    <t>EIR-07</t>
  </si>
  <si>
    <t>EIR-08</t>
  </si>
  <si>
    <t>Does your cyber security incident response plan contain steps to identify, contain, eradicate, and recover?</t>
  </si>
  <si>
    <t>EIR-09</t>
  </si>
  <si>
    <t>RISK-21</t>
  </si>
  <si>
    <t>THRD-13</t>
  </si>
  <si>
    <t>Does your information protection program include safeguards and notifications regarding the release of data to third parties?</t>
  </si>
  <si>
    <t>DATA-19</t>
  </si>
  <si>
    <t>DATA-20</t>
  </si>
  <si>
    <t>Does your information protection program prohibit access to customer data without authorization?</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</si>
  <si>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</si>
  <si>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</si>
  <si>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</si>
  <si>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</si>
  <si>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</si>
  <si>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</si>
  <si>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</si>
  <si>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</si>
  <si>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</si>
  <si>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</si>
  <si>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RISK-24</t>
  </si>
  <si>
    <t>CSPM-19</t>
  </si>
  <si>
    <t>CHNG-14</t>
  </si>
  <si>
    <t>Do you provide a specific list of, and justifications for, required logical ports (which may include limited ranges) and services required for its deliverables (either products or services)?</t>
  </si>
  <si>
    <t>VULN-16</t>
  </si>
  <si>
    <t>Do you digitally sign and validate software, patches, and firmware prior to distribution?</t>
  </si>
  <si>
    <t>Please summarize the technical controls in "Additional Information."</t>
  </si>
  <si>
    <t>VULN-17</t>
  </si>
  <si>
    <t>VULN-18</t>
  </si>
  <si>
    <t>IAM-28</t>
  </si>
  <si>
    <t>Do you have controls implemented and designed to manage the use of devices that access your customer's facilities, networks, or systems?</t>
  </si>
  <si>
    <t>RISK-25</t>
  </si>
  <si>
    <t>THRD-15</t>
  </si>
  <si>
    <t>Do you require your applicable third parties to have a designated privacy function responsible for its privacy policy and program as it relates to Privacy Data?</t>
  </si>
  <si>
    <t>Do you have secure system hardening guidelines and procedures for products developed or provided by you to your customer?</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</si>
  <si>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</si>
  <si>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</si>
  <si>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</si>
  <si>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</si>
  <si>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Is media used for long-term retention of customer's business data and archival purposes stored in a secure, environmentally protected area?</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</si>
  <si>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</si>
  <si>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</si>
  <si>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</si>
  <si>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</si>
  <si>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</si>
  <si>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</si>
  <si>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</si>
  <si>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</si>
  <si>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</si>
  <si>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</si>
  <si>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</si>
  <si>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</si>
  <si>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</si>
  <si>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</si>
  <si>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</si>
  <si>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</si>
  <si>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Do you have a process through which you investigate whether computer viruses or malware are present in any software or patches before providing such software or patches?</t>
  </si>
  <si>
    <t>Do you agree to remediate any security risks identified by your customer, their representative, or any industry-recognized vulnerability research or assessment organization within a pre-negotiated timeframe?</t>
  </si>
  <si>
    <t>Do you conduct an annual review of all individuals' access to the utility's assets, systems, networks, information, and facilities for which you provision and deprovision access?</t>
  </si>
  <si>
    <t>Do you maintain a list of all individuals with access to your assets, systems, networks, information, and/or facilities?</t>
  </si>
  <si>
    <t>For access within supplier's system functioning as a BCSI repository for entity data, has supplier implemented procedures to revoke access within 24 hours when any individual no longer requires access due to change in employment status or job duties?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</si>
  <si>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</si>
  <si>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</si>
  <si>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</si>
  <si>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</si>
  <si>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</si>
  <si>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RISK-27</t>
  </si>
  <si>
    <t>Do you have a process by which you will notify your customers when production and/or operation of products and/or services changes to another provider or location?</t>
  </si>
  <si>
    <t>Does your cyber incident response plan contain a requirement to notify customers that purchased the impacted products or services within 24 hours of initiation of your plan?</t>
  </si>
  <si>
    <t>Do you have a process to notify customers of any supplier-identified cyber or physical security incidents related to your products or services that could pose risk to the utility?</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</si>
  <si>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</si>
  <si>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</si>
  <si>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</si>
  <si>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</si>
  <si>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</si>
  <si>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</si>
  <si>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</si>
  <si>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</si>
  <si>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</si>
  <si>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</si>
  <si>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</si>
  <si>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</si>
  <si>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</si>
  <si>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</si>
  <si>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</si>
  <si>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</si>
  <si>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Describe any other subsidiaries or divisions of identified parent organizations.</t>
  </si>
  <si>
    <t>Provide information on any mergers or acquisitions that have been publicly announced or completed with the last 5 years.</t>
  </si>
  <si>
    <t>Primary (21)
Supports (44)</t>
  </si>
  <si>
    <t>Primary or Supporting for NATF Criteria</t>
  </si>
  <si>
    <t>Primary (50)</t>
  </si>
  <si>
    <t>Primary (56)</t>
  </si>
  <si>
    <t>Supports (21)</t>
  </si>
  <si>
    <t>Supports (38)</t>
  </si>
  <si>
    <t>Supports (56)</t>
  </si>
  <si>
    <t>Primary (40)
Supports (2)</t>
  </si>
  <si>
    <t>Primary (46)</t>
  </si>
  <si>
    <t>Primary (24)</t>
  </si>
  <si>
    <t>Primary (54)</t>
  </si>
  <si>
    <t>Primary (58)</t>
  </si>
  <si>
    <t>Primary (52)</t>
  </si>
  <si>
    <t>Supports (44)</t>
  </si>
  <si>
    <t>Supports (2)</t>
  </si>
  <si>
    <t>Supports (1)</t>
  </si>
  <si>
    <t>Primary (18)</t>
  </si>
  <si>
    <t>Primary (44)</t>
  </si>
  <si>
    <t>Primary (42)</t>
  </si>
  <si>
    <t>Supports (18)</t>
  </si>
  <si>
    <t>Supports (42)</t>
  </si>
  <si>
    <t>Primary (38)</t>
  </si>
  <si>
    <t>Primary (41)</t>
  </si>
  <si>
    <t>Primary (43)</t>
  </si>
  <si>
    <t>Primary (45)</t>
  </si>
  <si>
    <t>Primary (25)
Supporting (28, 36)</t>
  </si>
  <si>
    <t>Primary (28)</t>
  </si>
  <si>
    <t>Primary (36)</t>
  </si>
  <si>
    <t>Supports (30, 36)</t>
  </si>
  <si>
    <t>If response plan is not reviewed on an annual basis, please provide frequency.</t>
  </si>
  <si>
    <t>If response plan is not exercised on an annual basis, please provide frequency.</t>
  </si>
  <si>
    <t>Primary (34)</t>
  </si>
  <si>
    <t>Primary (33)
Supports (25, 26, 34, 35)</t>
  </si>
  <si>
    <t>26, 31</t>
  </si>
  <si>
    <t>Primary (26, 31)</t>
  </si>
  <si>
    <t>Primary (32)</t>
  </si>
  <si>
    <t>Primary (27)</t>
  </si>
  <si>
    <t>Primary (29)</t>
  </si>
  <si>
    <t>Primary (1)</t>
  </si>
  <si>
    <t>Primary (5)
Supports (6)</t>
  </si>
  <si>
    <t>Primary (6)
Supports (7)</t>
  </si>
  <si>
    <t xml:space="preserve">Primary (7)
Supporting (6, 11, 12)
</t>
  </si>
  <si>
    <t>Primary (9)</t>
  </si>
  <si>
    <t>Primary (14)</t>
  </si>
  <si>
    <t>Primary (15)</t>
  </si>
  <si>
    <t>Primary (17)</t>
  </si>
  <si>
    <t>Primary (19)</t>
  </si>
  <si>
    <t>Primary (16)</t>
  </si>
  <si>
    <t>Primary (60)
Supports (49)</t>
  </si>
  <si>
    <t>Supports (53, 58, 60)</t>
  </si>
  <si>
    <t>Primary (55)</t>
  </si>
  <si>
    <t>Primary (51)</t>
  </si>
  <si>
    <t>Primary (37)</t>
  </si>
  <si>
    <t>Primary (49)</t>
  </si>
  <si>
    <t>Primary (53)</t>
  </si>
  <si>
    <t>Supports (57)</t>
  </si>
  <si>
    <t>Supports (16)</t>
  </si>
  <si>
    <t>Supports (39)</t>
  </si>
  <si>
    <t>Supports (39, 45)</t>
  </si>
  <si>
    <t>Primary (2)</t>
  </si>
  <si>
    <t>Supports (48)</t>
  </si>
  <si>
    <t>Supports (49, 58)</t>
  </si>
  <si>
    <t xml:space="preserve">Primary (59)
Supports (20)
</t>
  </si>
  <si>
    <t>Primary (48)</t>
  </si>
  <si>
    <t>Primary (23)</t>
  </si>
  <si>
    <t>Primary (39)</t>
  </si>
  <si>
    <t>Supports (55)</t>
  </si>
  <si>
    <t>Supports (23, 59)</t>
  </si>
  <si>
    <t>Primary (57)</t>
  </si>
  <si>
    <t>Supports (47)</t>
  </si>
  <si>
    <t>Supports (4)</t>
  </si>
  <si>
    <t>Primary (3)</t>
  </si>
  <si>
    <t xml:space="preserve">Primary (13)
Supports (8, 10, 11)
</t>
  </si>
  <si>
    <t>Primary (11)
Supports (12)</t>
  </si>
  <si>
    <t>Primary (10)</t>
  </si>
  <si>
    <t>Do you have a documented program for secure product development, including applying security controls and secure coding techniques, within the system development life cycle?</t>
  </si>
  <si>
    <t>Primary (47)</t>
  </si>
  <si>
    <t>Primary (8)</t>
  </si>
  <si>
    <t>Primary (12)</t>
  </si>
  <si>
    <t>Supports (53, 54)</t>
  </si>
  <si>
    <t xml:space="preserve"> Represents 13</t>
  </si>
  <si>
    <t>Primary (22)</t>
  </si>
  <si>
    <t>Represents 55 (with VULN-10)</t>
  </si>
  <si>
    <t>Represents 55 (with RISK-55)</t>
  </si>
  <si>
    <t>Primary (52)
Supporting (44, 52)</t>
  </si>
  <si>
    <t>Does your company have a cyber incident response plan/process, including when notification would be provided to customers?</t>
  </si>
  <si>
    <t>30, 35</t>
  </si>
  <si>
    <t>Primary (30, 35)</t>
  </si>
  <si>
    <t>Have you taken appropriate action in response to assessment(s) of your cyber incident response plan/process?</t>
  </si>
  <si>
    <t>Have you had pending or resolved product-related litigation in the last ten (10) years?
If yes, please provide a summary.</t>
  </si>
  <si>
    <t>Do you have cyber security risk insurance?
If yes, please provide coverage amounts.</t>
  </si>
  <si>
    <t>GNRL-14</t>
  </si>
  <si>
    <t>GNRL-15</t>
  </si>
  <si>
    <t>GNRL-16</t>
  </si>
  <si>
    <t>GNRL-17</t>
  </si>
  <si>
    <t>GNRL-18</t>
  </si>
  <si>
    <t>GNRL-19</t>
  </si>
  <si>
    <t>GNRL-20</t>
  </si>
  <si>
    <t>Number of Contractors In Countries Other than the Untied States or Canada</t>
  </si>
  <si>
    <t>For access within supplier's system, does supplier revoke access when an individual no longer requires access due to change in employment status or job duties?</t>
  </si>
  <si>
    <t>COMP-09</t>
  </si>
  <si>
    <t>COMP-10</t>
  </si>
  <si>
    <t>COMP-11</t>
  </si>
  <si>
    <t>COMP-12</t>
  </si>
  <si>
    <t>COMP-13</t>
  </si>
  <si>
    <t>COMP-14</t>
  </si>
  <si>
    <t>COMP-15</t>
  </si>
  <si>
    <t>WFM-11</t>
  </si>
  <si>
    <t>WFM-12</t>
  </si>
  <si>
    <t>Please describe your staff offboarding procedures, including the timeframe for termination of system and physical access. Please also indicate your process, including the timeframe, for notifying customers of termination of personnel or cases in which personnel will no longer need physical or logical access the  utility's sites or systems.</t>
  </si>
  <si>
    <t>Do you maintain an access list of all individuals with access to entity’s assets, information and facilities?</t>
  </si>
  <si>
    <t>IAM-30</t>
  </si>
  <si>
    <t>Represents 4</t>
  </si>
  <si>
    <t>Primary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</si>
  <si>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</si>
  <si>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</si>
  <si>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</si>
  <si>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</si>
  <si>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</si>
  <si>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</si>
  <si>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</si>
  <si>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</si>
  <si>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</si>
  <si>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</si>
  <si>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</si>
  <si>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</si>
  <si>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</si>
  <si>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</si>
  <si>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 xml:space="preserve">Have you implemented security controls for the use of devices that access entity's system (e.g., mobile, laptop, non-company devices)? </t>
  </si>
  <si>
    <t>Are there any OS (e.g., servers, PCs, switches, routers, etc.) that are not currently supported?</t>
  </si>
  <si>
    <t>Provide any countries other than the United States or Canada in which supplier operates (has an office, sells product, or conducts any business) (indicate if none) and describe activities conducted in each.</t>
  </si>
  <si>
    <t>Provide any countries other than the United States or Canada in which supplier's product (i.e., hardware, software, firmware, or components) is manufactured or developed (indicate if none) and describe activities conducted in each.</t>
  </si>
  <si>
    <t>Provide any countries other than the United States or Canada in which supplier's product (i.e., hardware, software, firmware, or components) is assembled (indicate if none) and describe activities conducted in each.</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</si>
  <si>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</si>
  <si>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</si>
  <si>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teams for different development and customer assistance functions (e.g., customer support, implementation, product management, etc.)?</t>
  </si>
  <si>
    <t>Do you have dedicated information security staff assigned to the product or service to be provided to the utility?</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</si>
  <si>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</si>
  <si>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Describe or provide references to your third-party risk management strategy or provide additional information that may help analysts better understand your environment and how it relates to third-party solutions.</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</si>
  <si>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</si>
  <si>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</si>
  <si>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 xml:space="preserve">Provide the findings reports from third-party verifications conducted for cyber security frameworks (provide the two most recent reports for each cyber security framework). </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</si>
  <si>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</si>
  <si>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</si>
  <si>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</si>
  <si>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Do you perform background screenings or multi-state background checks, including seven-year criminal background checks, on all personnel, including employees, contractors, and subcontractors, prior to their first day of work?</t>
  </si>
  <si>
    <t>Does your personnel vetting process allow you to share background check criteria and results with entity for confirmation of process or verification of sampled employees?</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</si>
  <si>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</si>
  <si>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</si>
  <si>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</si>
  <si>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</si>
  <si>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into the entity's systems, do you have an implemented process to obtain authorization from entity prior to initializing each remote access session?</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</si>
  <si>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</si>
  <si>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</si>
  <si>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Does your computing system support role-based access control (RBAC) for end-users?  (Depending on type of computing system, this may be your users internally, or potentially client users of your product.)</t>
  </si>
  <si>
    <t>Does your computing system support role-based access control (RBAC) for system administrators? (Depending on type of computing system, this may be your users internally, or potentially client users of your product.)</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</si>
  <si>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</si>
  <si>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</si>
  <si>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Do you have a business continuity plan (BCP) to support ongoing operations of your systems and scope of equipment and/or services provided to the entity?</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</si>
  <si>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</si>
  <si>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</si>
  <si>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the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</si>
  <si>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</si>
  <si>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</si>
  <si>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</si>
  <si>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</si>
  <si>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</si>
  <si>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</si>
  <si>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</si>
  <si>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</si>
  <si>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</si>
  <si>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</si>
  <si>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</si>
  <si>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</si>
  <si>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</si>
  <si>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</si>
  <si>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</si>
  <si>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</si>
  <si>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</si>
  <si>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</si>
  <si>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</si>
  <si>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</si>
  <si>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Is utility unstructured data (e.g., fileshares) encrypted?</t>
  </si>
  <si>
    <t>Does your system employ encryption technologies (e.g., SSH, SSL/TLS, VPN) when transmitting sensitive information over TCP/IP networks (e.g., system-to-system and system-to-client)?</t>
  </si>
  <si>
    <t>List all locations (countries) where the utility's data will be stored.</t>
  </si>
  <si>
    <t>Will any utility data be stored in the cloud?</t>
  </si>
  <si>
    <t>Are you performing off site backups (i.e., digitally/physically moved off site)?</t>
  </si>
  <si>
    <t>Does your cyber incident response plan include a requirement to perform an after-action review, demonstrate corrective actions (e.g., lessons learned), and update your plan accordingly?</t>
  </si>
  <si>
    <t>Does your cyber security incident response plan contain clear roles and responsibilities that include coordination of responses to your customer(s)?</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</si>
  <si>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</si>
  <si>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</si>
  <si>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</si>
  <si>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</si>
  <si>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a means by which your customer can verify the source of software, firmware, patch, and data downloads is authentic?</t>
  </si>
  <si>
    <t>Do you have the ability to send automated notifications of and respond to software, patches, and firmware integrity violations?</t>
  </si>
  <si>
    <t>Do you establish and maintain a security program for the product(s) or service(s) being purchased, including implemented processes to verify the integrity and authenticity of the software, patches, and firmware relevant to the product(s) or service(s) being delivered to the entity?</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</si>
  <si>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</si>
  <si>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</si>
  <si>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Do your computing systems conform with a specific industry standard security framework (e.g., NIST Cybersecurity Framework, ISO 27001, etc.)?</t>
  </si>
  <si>
    <t>Are employees allowed to take utility's data out of the computing system in any form?</t>
  </si>
  <si>
    <r>
      <t>Are there any web browsers that are not currently supported?</t>
    </r>
    <r>
      <rPr>
        <u/>
        <sz val="11"/>
        <color theme="1"/>
        <rFont val="Verdana"/>
        <family val="2"/>
      </rPr>
      <t xml:space="preserve"> </t>
    </r>
  </si>
  <si>
    <t>Can a copy of your most recent application code review or penetration testing reports (carried out by independent third party) be given to utility clients?</t>
  </si>
  <si>
    <t>Do you have a process or program through which you notify your customers of vulnerabilities and/or material defects and remediations of those items in the product(s) and service(s) supplied by you to them throughout the lifecycle of the product(s) or service(s) provided, to include any vulnerabilities identified and unresolved prior to deployment of product(s) in the customer's environment?</t>
  </si>
  <si>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</si>
  <si>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</si>
  <si>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Will you allow the utility to perform its own security testing of your systems and/or application provided that testing is performed at a mutually agreed upon time and date?</t>
  </si>
  <si>
    <t>Open Distribution for Supply Chain Materials</t>
  </si>
  <si>
    <t>Document ID: 1395</t>
  </si>
  <si>
    <t>http://www.supplier.domain/privacynotice</t>
  </si>
  <si>
    <t>Robust answers from the supplier improve the quality and efficiency of the security assessment process.</t>
  </si>
  <si>
    <t>GNRL-01 through GNRL-20; populated by the Supplier</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</si>
  <si>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</si>
  <si>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</si>
  <si>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</si>
  <si>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</si>
  <si>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</si>
  <si>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</si>
  <si>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</si>
  <si>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</si>
  <si>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</si>
  <si>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</si>
  <si>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</si>
  <si>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</si>
  <si>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</si>
  <si>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</si>
  <si>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</si>
  <si>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Step 1: Complete each section answering each set of questions in order from top to bottom. 
Step 2: Submit the completed Energy Sector Supply Chain Risk Questionnaire to the Utility according to Utility's procedures.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t>
  </si>
  <si>
    <t>Supplier Corporate Systems</t>
  </si>
  <si>
    <t>Supplier Product</t>
  </si>
  <si>
    <t>The NATF permits the use of the content contained herein (“Content”) without modification; however, any such use must include this notice and reference the associated NATF document name &amp; version number. The Content is provided on an “as is” basis. The NATF and contributors to the development of this document ("Contributors") makes no and hereby disclaims all representations or warranties (express or implied) relating to the Content. The NATF and Contributors shall not be liable for any damages arising directly or indirectly from the Content or use thereof. By using the Content, you hereby agree to defend, indemnify, and hold the NATF and Contributors harmless from and against all claims arising from such use.</t>
  </si>
  <si>
    <t>Ensure that all elements of IAM-25 are clearly stated in your response.</t>
  </si>
  <si>
    <t>Version History:</t>
  </si>
  <si>
    <t>Date</t>
  </si>
  <si>
    <t>Version</t>
  </si>
  <si>
    <t>Notes</t>
  </si>
  <si>
    <t>Initial version posted</t>
  </si>
  <si>
    <t>Corrected cell name for reference  in G113 and G114</t>
  </si>
  <si>
    <t>Copyright © 2021 North American Transmission Forum (“NATF”).  All rights reserved.</t>
  </si>
  <si>
    <r>
      <t xml:space="preserve">Energy Sector Supply Chain Risk Questionnaire - Formatted
</t>
    </r>
    <r>
      <rPr>
        <b/>
        <sz val="16"/>
        <color theme="0" tint="-0.249977111117893"/>
        <rFont val="Verdana"/>
        <family val="2"/>
      </rPr>
      <t>Open Distribution for Supply Chain Materials
Copyright © 2021 North American Transmission Forum, Inc.</t>
    </r>
  </si>
  <si>
    <t>Bulk Electric System (BES) Cyber System Information (BCSI)</t>
  </si>
  <si>
    <t xml:space="preserve">Other – Please explain:  </t>
  </si>
  <si>
    <t>62, 63</t>
  </si>
  <si>
    <t>WFM-01.1</t>
  </si>
  <si>
    <t>Do you perform recurring background checks for personnel on a periodic basis after initial hire date?</t>
  </si>
  <si>
    <t>Ensure that all parts are clearly stated in your response.</t>
  </si>
  <si>
    <t>Ensure that all elements are clearly stated in your response. (i.e., architecture AND functionality are defined)</t>
  </si>
  <si>
    <t>Ensure that all elements are clearly stated in your response.</t>
  </si>
  <si>
    <t>Identify Types of Information Provided by Utility; populated by the supplier</t>
  </si>
  <si>
    <t>Energy Sector Supply Chain Risk Questionnaire - Unformatted</t>
  </si>
  <si>
    <t>Corrected various typos.
Added content to General Information section.
Added definition reference for CEII
Added check box and option for BCSI data
All font in column G for guidance changed to blue
Removed duplicate question RISK-28
Changed "another provider" to "another supplier" in THRD-09
Added new question WFM-01.1
Removed duplicate question EIR-11
Added clarifying text to EIR-12
Removed duplicate question RISK-28
Formatted cells to allow for text entry for following quesions:  COMP-06, COMP-07, COMP-08, IAM-01, IAM-21, IAM-22, IAM-28, CHNG-07, CSTA-10, CSTA-13, CSTA-19, DATA-21, DATA-23, MOBL-02, and AC-1.</t>
  </si>
  <si>
    <t>Critical Energy Infrastructure Information (CEII) (Defined term at https://www.ferc.gov/enforcement-legal/ceii)</t>
  </si>
  <si>
    <t>Version: 2.0</t>
  </si>
  <si>
    <t>Version 2.0</t>
  </si>
  <si>
    <t>In order to protect the utility and its systems, suppliers whose products and/or services will access and/or host utility data must complete the Energy Sector Supply Chain Risk Questionnaire. Throughout this tool, anywhere where the term data is used, this is an all-encompassing term including at least data and metadata. Answers will be reviewed by utility security analysts upon submittal. This process will assist the utility in preventing breaches of protected information and comply with utility policy, state, and federal law. This is intended for use by suppliers participating in a third-party security assessment and should be completed by a supplier. Review the Instructions section below for further guidance.
The purpose of this document is to provide an industry-wide supply chain questionnaire for cybersecurity for the energy sector to perform risk assessment.  Utilities may select questions pertaining to their specific business use as appropriate. However, it is recommeded that the questionnaire be used in its entirety to reduce supply chain cybersecurity risk.  All questions should remain in original format to promote consistency and efficiency within the industry.
For additional information, see the NATF Supply Chain Security Assessment Model Overview and the Supplier Assessment Model documents, both of which are available on the NATF web site.</t>
  </si>
  <si>
    <t>Approved: 06/04/2021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</si>
</sst>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36"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1"/>
      <name val="Verdana"/>
      <family val="2"/>
    </font>
    <font>
      <sz val="12"/>
      <color theme="0"/>
      <name val="Verdana"/>
      <family val="2"/>
    </font>
    <font>
      <b/>
      <sz val="14"/>
      <color theme="0" tint="-0.249977111117893"/>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b/>
      <sz val="11"/>
      <color rgb="FF000000"/>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b/>
      <sz val="24"/>
      <color theme="4" tint="-0.499984740745262"/>
      <name val="Calibri Light"/>
      <family val="2"/>
      <scheme val="major"/>
    </font>
    <font>
      <sz val="11"/>
      <name val="Calibri"/>
      <family val="2"/>
      <scheme val="minor"/>
    </font>
    <font>
      <b/>
      <sz val="12"/>
      <color theme="1"/>
      <name val="Calibri"/>
      <family val="2"/>
      <scheme val="minor"/>
    </font>
    <font>
      <sz val="9"/>
      <color indexed="8"/>
      <name val="Calibri"/>
      <family val="2"/>
    </font>
    <font>
      <sz val="10"/>
      <name val="Arial"/>
      <family val="2"/>
    </font>
    <font>
      <sz val="11"/>
      <color theme="1"/>
      <name val="Arial"/>
      <family val="2"/>
    </font>
    <font>
      <b/>
      <sz val="16"/>
      <color theme="0" tint="-0.249977111117893"/>
      <name val="Verdana"/>
      <family val="2"/>
    </font>
    <font>
      <sz val="14"/>
      <color rgb="FFFF0000"/>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applyNumberFormat="0" applyFill="0" applyBorder="0" applyProtection="0">
      <alignment vertical="top" wrapText="1"/>
    </xf>
    <xf numFmtId="0" fontId="4" fillId="0" borderId="0"/>
    <xf numFmtId="0" fontId="32" fillId="0" borderId="0"/>
    <xf numFmtId="0" fontId="33" fillId="0" borderId="0"/>
    <xf numFmtId="0" fontId="1" fillId="0" borderId="0"/>
    <xf numFmtId="0" fontId="1" fillId="0" borderId="0"/>
    <xf numFmtId="0" fontId="19" fillId="0" borderId="0" applyNumberFormat="0" applyFill="0" applyBorder="0" applyProtection="0">
      <alignment vertical="top" wrapText="1"/>
    </xf>
  </cellStyleXfs>
  <cellXfs count="129">
    <xf numFmtId="0" fontId="0" fillId="0" borderId="0" xfId="0">
      <alignment vertical="top" wrapText="1"/>
    </xf>
    <xf numFmtId="0" fontId="7" fillId="0" borderId="0" xfId="0" applyNumberFormat="1" applyFont="1" applyAlignment="1"/>
    <xf numFmtId="0" fontId="0" fillId="0" borderId="0" xfId="0" applyFont="1" applyAlignment="1">
      <alignment vertical="top" wrapText="1"/>
    </xf>
    <xf numFmtId="0" fontId="11" fillId="4" borderId="1" xfId="0" applyNumberFormat="1" applyFont="1" applyFill="1" applyBorder="1" applyAlignment="1">
      <alignment horizontal="center" vertical="center" wrapText="1"/>
    </xf>
    <xf numFmtId="0" fontId="14" fillId="4" borderId="1" xfId="0" applyNumberFormat="1" applyFont="1" applyFill="1" applyBorder="1" applyAlignment="1">
      <alignment horizontal="center" vertical="center" wrapText="1"/>
    </xf>
    <xf numFmtId="0" fontId="8" fillId="2" borderId="1" xfId="0" applyNumberFormat="1" applyFont="1" applyFill="1" applyBorder="1" applyAlignment="1">
      <alignment vertical="center" wrapText="1"/>
    </xf>
    <xf numFmtId="0" fontId="17" fillId="8" borderId="1" xfId="0" applyFont="1" applyFill="1" applyBorder="1" applyAlignment="1">
      <alignment vertical="center" wrapText="1"/>
    </xf>
    <xf numFmtId="0" fontId="16" fillId="2" borderId="1" xfId="0" applyNumberFormat="1" applyFont="1" applyFill="1" applyBorder="1" applyAlignment="1">
      <alignment vertical="center" wrapText="1"/>
    </xf>
    <xf numFmtId="0" fontId="7" fillId="0" borderId="0" xfId="0" applyNumberFormat="1" applyFont="1" applyAlignment="1">
      <alignment horizontal="center" vertical="center"/>
    </xf>
    <xf numFmtId="0" fontId="7" fillId="0" borderId="0" xfId="0" applyNumberFormat="1" applyFont="1" applyAlignment="1">
      <alignment wrapText="1"/>
    </xf>
    <xf numFmtId="0" fontId="15" fillId="0" borderId="0" xfId="0" applyNumberFormat="1" applyFont="1" applyBorder="1" applyAlignment="1">
      <alignment wrapText="1"/>
    </xf>
    <xf numFmtId="0" fontId="6" fillId="9" borderId="1" xfId="0" applyNumberFormat="1" applyFont="1" applyFill="1" applyBorder="1" applyAlignment="1">
      <alignment horizontal="center" vertical="center" wrapText="1"/>
    </xf>
    <xf numFmtId="0" fontId="7" fillId="2" borderId="4" xfId="0" applyFont="1" applyFill="1" applyBorder="1" applyAlignment="1">
      <alignment vertical="center" wrapText="1"/>
    </xf>
    <xf numFmtId="0" fontId="0" fillId="2" borderId="0" xfId="0" applyFill="1" applyBorder="1" applyAlignment="1">
      <alignment vertical="top"/>
    </xf>
    <xf numFmtId="0" fontId="19" fillId="2" borderId="0" xfId="0" applyFont="1" applyFill="1" applyBorder="1" applyAlignment="1">
      <alignment vertical="center" wrapText="1"/>
    </xf>
    <xf numFmtId="0" fontId="21" fillId="7" borderId="1" xfId="0" applyFont="1" applyFill="1" applyBorder="1" applyAlignment="1">
      <alignment vertical="center" wrapText="1"/>
    </xf>
    <xf numFmtId="0" fontId="22" fillId="7" borderId="1" xfId="0" applyFont="1" applyFill="1" applyBorder="1" applyAlignment="1">
      <alignment vertical="center" wrapText="1"/>
    </xf>
    <xf numFmtId="0" fontId="21" fillId="3" borderId="1" xfId="0" applyNumberFormat="1" applyFont="1" applyFill="1" applyBorder="1" applyAlignment="1">
      <alignment horizontal="center" vertical="center" wrapText="1"/>
    </xf>
    <xf numFmtId="0" fontId="21" fillId="3" borderId="1" xfId="0" applyNumberFormat="1" applyFont="1" applyFill="1" applyBorder="1" applyAlignment="1">
      <alignment horizontal="left" vertical="center" wrapText="1"/>
    </xf>
    <xf numFmtId="0" fontId="21" fillId="3" borderId="1" xfId="0" applyNumberFormat="1" applyFont="1" applyFill="1" applyBorder="1" applyAlignment="1">
      <alignment vertical="center" wrapText="1"/>
    </xf>
    <xf numFmtId="1" fontId="21" fillId="3" borderId="1" xfId="0" applyNumberFormat="1" applyFont="1" applyFill="1" applyBorder="1" applyAlignment="1">
      <alignment vertical="center" wrapText="1"/>
    </xf>
    <xf numFmtId="0" fontId="21" fillId="3" borderId="1" xfId="0" applyNumberFormat="1" applyFont="1" applyFill="1" applyBorder="1" applyAlignment="1">
      <alignment horizontal="left" vertical="center" wrapText="1"/>
    </xf>
    <xf numFmtId="0" fontId="21" fillId="10" borderId="1" xfId="0" applyNumberFormat="1" applyFont="1" applyFill="1" applyBorder="1" applyAlignment="1">
      <alignment vertical="center" wrapText="1"/>
    </xf>
    <xf numFmtId="1" fontId="24" fillId="0" borderId="1" xfId="0" applyNumberFormat="1" applyFont="1" applyFill="1" applyBorder="1" applyAlignment="1">
      <alignment vertical="center" wrapText="1"/>
    </xf>
    <xf numFmtId="0" fontId="8" fillId="10" borderId="1" xfId="0" applyNumberFormat="1" applyFont="1" applyFill="1" applyBorder="1" applyAlignment="1">
      <alignment vertical="center" wrapText="1"/>
    </xf>
    <xf numFmtId="0" fontId="24" fillId="3" borderId="1" xfId="0" applyNumberFormat="1" applyFont="1" applyFill="1" applyBorder="1" applyAlignment="1">
      <alignment horizontal="center" vertical="center" wrapText="1"/>
    </xf>
    <xf numFmtId="0" fontId="24" fillId="3" borderId="1" xfId="0" applyNumberFormat="1" applyFont="1" applyFill="1" applyBorder="1" applyAlignment="1">
      <alignment horizontal="left" vertical="center" wrapText="1"/>
    </xf>
    <xf numFmtId="0" fontId="21" fillId="2" borderId="1" xfId="0" applyNumberFormat="1" applyFont="1" applyFill="1" applyBorder="1" applyAlignment="1">
      <alignment vertical="center" wrapText="1"/>
    </xf>
    <xf numFmtId="1" fontId="21" fillId="0" borderId="1" xfId="0" applyNumberFormat="1" applyFont="1" applyFill="1" applyBorder="1" applyAlignment="1">
      <alignment vertical="center" wrapText="1"/>
    </xf>
    <xf numFmtId="0" fontId="21" fillId="2" borderId="4" xfId="0" applyFont="1" applyFill="1" applyBorder="1" applyAlignment="1">
      <alignment vertical="center" wrapText="1"/>
    </xf>
    <xf numFmtId="0"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left" vertical="center" wrapText="1"/>
    </xf>
    <xf numFmtId="0" fontId="21"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left" vertical="center" wrapText="1"/>
    </xf>
    <xf numFmtId="0" fontId="22" fillId="0" borderId="1" xfId="0" applyFont="1" applyFill="1" applyBorder="1" applyAlignment="1">
      <alignment vertical="center" wrapText="1"/>
    </xf>
    <xf numFmtId="0" fontId="21" fillId="0"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0" fontId="21" fillId="3" borderId="1" xfId="0" applyNumberFormat="1" applyFont="1" applyFill="1" applyBorder="1" applyAlignment="1">
      <alignment horizontal="left" vertical="center" wrapText="1"/>
    </xf>
    <xf numFmtId="0" fontId="21" fillId="7" borderId="1" xfId="0" applyFont="1" applyFill="1" applyBorder="1" applyAlignment="1">
      <alignment vertical="center" wrapText="1"/>
    </xf>
    <xf numFmtId="0" fontId="16" fillId="2" borderId="0"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16" fillId="2" borderId="1" xfId="0" applyNumberFormat="1" applyFont="1" applyFill="1" applyBorder="1" applyAlignment="1">
      <alignment horizontal="center" vertical="center"/>
    </xf>
    <xf numFmtId="0"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0" xfId="0" applyNumberFormat="1" applyFont="1" applyAlignment="1">
      <alignment horizontal="center" vertical="center"/>
    </xf>
    <xf numFmtId="0" fontId="16" fillId="2" borderId="6" xfId="0" applyNumberFormat="1"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0" borderId="0" xfId="0" applyNumberFormat="1" applyFont="1" applyAlignment="1">
      <alignment horizontal="center" vertical="center" wrapText="1"/>
    </xf>
    <xf numFmtId="0" fontId="27" fillId="0" borderId="1" xfId="0" applyNumberFormat="1" applyFont="1" applyFill="1" applyBorder="1" applyAlignment="1">
      <alignment horizontal="center" vertical="center" wrapText="1"/>
    </xf>
    <xf numFmtId="1" fontId="27" fillId="0" borderId="1" xfId="0" applyNumberFormat="1" applyFont="1" applyFill="1" applyBorder="1" applyAlignment="1">
      <alignment vertical="center" wrapText="1"/>
    </xf>
    <xf numFmtId="0" fontId="21" fillId="2" borderId="1" xfId="0" applyNumberFormat="1" applyFont="1" applyFill="1" applyBorder="1" applyAlignment="1">
      <alignment horizontal="left" vertical="center" wrapText="1"/>
    </xf>
    <xf numFmtId="0" fontId="21" fillId="2" borderId="1" xfId="0" applyNumberFormat="1" applyFont="1" applyFill="1" applyBorder="1" applyAlignment="1">
      <alignment horizontal="center" vertical="center"/>
    </xf>
    <xf numFmtId="0"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8" borderId="1" xfId="0" applyFont="1" applyFill="1" applyBorder="1" applyAlignment="1">
      <alignment vertical="center" wrapText="1"/>
    </xf>
    <xf numFmtId="0" fontId="29" fillId="0" borderId="0" xfId="0" applyFont="1" applyAlignment="1"/>
    <xf numFmtId="0" fontId="0" fillId="0" borderId="0" xfId="0" applyAlignment="1"/>
    <xf numFmtId="0" fontId="30" fillId="0" borderId="0" xfId="0" applyFont="1" applyAlignment="1"/>
    <xf numFmtId="0" fontId="0" fillId="0" borderId="0" xfId="0" applyAlignment="1">
      <alignment horizontal="justify" vertical="center"/>
    </xf>
    <xf numFmtId="0" fontId="4" fillId="0" borderId="0" xfId="1"/>
    <xf numFmtId="0" fontId="4" fillId="0" borderId="7" xfId="1" applyBorder="1" applyAlignment="1">
      <alignment horizontal="left" wrapText="1"/>
    </xf>
    <xf numFmtId="0" fontId="4" fillId="0" borderId="7" xfId="1" applyBorder="1" applyAlignment="1">
      <alignment horizontal="center" wrapText="1"/>
    </xf>
    <xf numFmtId="14" fontId="4" fillId="0" borderId="8" xfId="1" applyNumberFormat="1" applyBorder="1" applyAlignment="1">
      <alignment horizontal="left" wrapText="1"/>
    </xf>
    <xf numFmtId="0" fontId="4" fillId="0" borderId="9" xfId="1" applyBorder="1" applyAlignment="1">
      <alignment horizontal="left" wrapText="1"/>
    </xf>
    <xf numFmtId="0" fontId="4" fillId="0" borderId="10" xfId="1" applyBorder="1" applyAlignment="1">
      <alignment horizontal="left" wrapText="1"/>
    </xf>
    <xf numFmtId="0" fontId="29" fillId="0" borderId="0" xfId="1" applyFont="1"/>
    <xf numFmtId="14" fontId="4" fillId="0" borderId="0" xfId="1" applyNumberFormat="1" applyBorder="1" applyAlignment="1">
      <alignment horizontal="left" wrapText="1"/>
    </xf>
    <xf numFmtId="0" fontId="4" fillId="0" borderId="0" xfId="1" applyFill="1" applyBorder="1" applyAlignment="1">
      <alignment horizontal="center" wrapText="1"/>
    </xf>
    <xf numFmtId="0" fontId="4" fillId="0" borderId="0" xfId="1" applyFill="1" applyBorder="1" applyAlignment="1">
      <alignment horizontal="left" wrapText="1"/>
    </xf>
    <xf numFmtId="0" fontId="0" fillId="0" borderId="0" xfId="0" applyBorder="1">
      <alignment vertical="top" wrapText="1"/>
    </xf>
    <xf numFmtId="0" fontId="3" fillId="0" borderId="7" xfId="1" applyFont="1" applyBorder="1" applyAlignment="1">
      <alignment horizontal="left" wrapText="1"/>
    </xf>
    <xf numFmtId="0" fontId="7" fillId="2" borderId="0" xfId="0" applyFont="1" applyFill="1" applyBorder="1" applyAlignment="1">
      <alignment vertical="center"/>
    </xf>
    <xf numFmtId="165" fontId="2" fillId="0" borderId="7" xfId="1" applyNumberFormat="1" applyFont="1" applyBorder="1" applyAlignment="1">
      <alignment horizontal="center" vertical="top" wrapText="1"/>
    </xf>
    <xf numFmtId="1" fontId="27" fillId="2" borderId="1" xfId="0" applyNumberFormat="1" applyFont="1" applyFill="1" applyBorder="1" applyAlignment="1">
      <alignment vertical="center" wrapText="1"/>
    </xf>
    <xf numFmtId="0" fontId="27" fillId="2" borderId="1" xfId="0" applyNumberFormat="1" applyFont="1" applyFill="1" applyBorder="1" applyAlignment="1">
      <alignment vertical="center" wrapText="1"/>
    </xf>
    <xf numFmtId="1" fontId="27" fillId="10" borderId="1" xfId="0" applyNumberFormat="1" applyFont="1" applyFill="1" applyBorder="1" applyAlignment="1">
      <alignment vertical="center" wrapText="1"/>
    </xf>
    <xf numFmtId="0" fontId="27" fillId="11" borderId="1" xfId="0" applyFont="1" applyFill="1" applyBorder="1" applyAlignment="1">
      <alignment vertical="center" wrapText="1"/>
    </xf>
    <xf numFmtId="0" fontId="27" fillId="2" borderId="1" xfId="0" applyFont="1" applyFill="1" applyBorder="1" applyAlignment="1">
      <alignment vertical="center" wrapText="1"/>
    </xf>
    <xf numFmtId="0" fontId="1" fillId="0" borderId="7" xfId="1" applyFont="1" applyBorder="1" applyAlignment="1">
      <alignment horizontal="left" vertical="top" wrapText="1"/>
    </xf>
    <xf numFmtId="0" fontId="21" fillId="2" borderId="0" xfId="0" applyFont="1" applyFill="1" applyBorder="1" applyAlignment="1">
      <alignment vertical="center"/>
    </xf>
    <xf numFmtId="14" fontId="35" fillId="0" borderId="8" xfId="4" applyNumberFormat="1" applyFont="1" applyBorder="1" applyAlignment="1">
      <alignment horizontal="left" vertical="top" wrapText="1"/>
    </xf>
    <xf numFmtId="0" fontId="6" fillId="9" borderId="1" xfId="6" applyNumberFormat="1" applyFont="1" applyFill="1" applyBorder="1" applyAlignment="1">
      <alignment horizontal="center" vertical="center" wrapText="1"/>
    </xf>
    <xf numFmtId="14" fontId="29" fillId="0" borderId="8" xfId="5" applyNumberFormat="1" applyFont="1" applyBorder="1" applyAlignment="1">
      <alignment horizontal="left" vertical="top" wrapText="1"/>
    </xf>
    <xf numFmtId="0" fontId="31" fillId="0" borderId="0" xfId="0" applyFont="1" applyAlignment="1">
      <alignment horizontal="left" vertical="center"/>
    </xf>
    <xf numFmtId="0" fontId="31" fillId="0" borderId="0" xfId="0" applyFont="1" applyAlignment="1">
      <alignment horizontal="left" vertical="center" wrapText="1"/>
    </xf>
    <xf numFmtId="0" fontId="28" fillId="0" borderId="0" xfId="0" applyFont="1" applyAlignment="1">
      <alignment horizontal="left" wrapText="1"/>
    </xf>
    <xf numFmtId="0" fontId="28" fillId="0" borderId="0" xfId="0" applyFont="1" applyAlignment="1">
      <alignment horizontal="left"/>
    </xf>
    <xf numFmtId="0" fontId="21" fillId="7" borderId="1" xfId="0" applyFont="1" applyFill="1" applyBorder="1" applyAlignment="1">
      <alignment vertical="center" wrapText="1"/>
    </xf>
    <xf numFmtId="0" fontId="26" fillId="0" borderId="2" xfId="0" applyNumberFormat="1" applyFont="1" applyFill="1" applyBorder="1" applyAlignment="1">
      <alignment horizontal="left" vertical="center" wrapText="1"/>
    </xf>
    <xf numFmtId="0" fontId="21" fillId="0" borderId="3" xfId="0" applyNumberFormat="1" applyFont="1" applyFill="1" applyBorder="1" applyAlignment="1">
      <alignment horizontal="left" vertical="center" wrapText="1"/>
    </xf>
    <xf numFmtId="0" fontId="21" fillId="0" borderId="4" xfId="0" applyNumberFormat="1" applyFont="1" applyFill="1" applyBorder="1" applyAlignment="1">
      <alignment horizontal="left" vertical="center" wrapText="1"/>
    </xf>
    <xf numFmtId="0" fontId="26" fillId="0" borderId="3" xfId="0" applyNumberFormat="1" applyFont="1" applyFill="1" applyBorder="1" applyAlignment="1">
      <alignment horizontal="left" vertical="center" wrapText="1"/>
    </xf>
    <xf numFmtId="0" fontId="26" fillId="0" borderId="4" xfId="0" applyNumberFormat="1" applyFont="1" applyFill="1" applyBorder="1" applyAlignment="1">
      <alignment horizontal="left" vertical="center" wrapText="1"/>
    </xf>
    <xf numFmtId="0" fontId="26" fillId="0" borderId="2" xfId="0" applyNumberFormat="1" applyFont="1" applyFill="1" applyBorder="1" applyAlignment="1">
      <alignment vertical="center" wrapText="1"/>
    </xf>
    <xf numFmtId="0" fontId="26" fillId="0" borderId="3" xfId="0" applyNumberFormat="1" applyFont="1" applyFill="1" applyBorder="1" applyAlignment="1">
      <alignment vertical="center" wrapText="1"/>
    </xf>
    <xf numFmtId="0" fontId="26" fillId="0" borderId="4" xfId="0" applyNumberFormat="1" applyFont="1" applyFill="1" applyBorder="1" applyAlignment="1">
      <alignment vertical="center" wrapText="1"/>
    </xf>
    <xf numFmtId="0" fontId="24" fillId="0" borderId="2"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13" fillId="6" borderId="2" xfId="0" applyNumberFormat="1" applyFont="1" applyFill="1" applyBorder="1" applyAlignment="1">
      <alignment horizontal="left" vertical="center" wrapText="1"/>
    </xf>
    <xf numFmtId="0" fontId="13" fillId="6" borderId="3" xfId="0" applyNumberFormat="1" applyFont="1" applyFill="1" applyBorder="1" applyAlignment="1">
      <alignment horizontal="left" vertical="center" wrapText="1"/>
    </xf>
    <xf numFmtId="0" fontId="13" fillId="6" borderId="4"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12" fillId="5" borderId="2" xfId="0" applyNumberFormat="1" applyFont="1" applyFill="1" applyBorder="1" applyAlignment="1">
      <alignment horizontal="left" vertical="center" wrapText="1"/>
    </xf>
    <xf numFmtId="0" fontId="12" fillId="5" borderId="3" xfId="0" applyNumberFormat="1" applyFont="1" applyFill="1" applyBorder="1" applyAlignment="1">
      <alignment horizontal="left" vertical="center" wrapText="1"/>
    </xf>
    <xf numFmtId="0" fontId="12" fillId="5" borderId="4" xfId="0" applyNumberFormat="1" applyFont="1" applyFill="1" applyBorder="1" applyAlignment="1">
      <alignment horizontal="left" vertical="center" wrapText="1"/>
    </xf>
    <xf numFmtId="0" fontId="11" fillId="4" borderId="2" xfId="0" applyNumberFormat="1" applyFont="1" applyFill="1" applyBorder="1" applyAlignment="1">
      <alignment horizontal="left" vertical="center" wrapText="1"/>
    </xf>
    <xf numFmtId="0" fontId="11" fillId="4" borderId="3" xfId="0" applyNumberFormat="1" applyFont="1" applyFill="1" applyBorder="1" applyAlignment="1">
      <alignment horizontal="left" vertical="center" wrapText="1"/>
    </xf>
    <xf numFmtId="0" fontId="11" fillId="4" borderId="4" xfId="0" applyNumberFormat="1" applyFont="1" applyFill="1" applyBorder="1" applyAlignment="1">
      <alignment horizontal="left" vertical="center" wrapText="1"/>
    </xf>
    <xf numFmtId="0" fontId="7" fillId="2" borderId="0" xfId="0" applyFont="1" applyFill="1" applyBorder="1" applyAlignment="1">
      <alignment vertical="center"/>
    </xf>
    <xf numFmtId="0" fontId="5" fillId="9" borderId="1" xfId="0" applyNumberFormat="1" applyFont="1" applyFill="1" applyBorder="1" applyAlignment="1">
      <alignment horizontal="left" vertical="center" wrapText="1"/>
    </xf>
    <xf numFmtId="0" fontId="18" fillId="0" borderId="0" xfId="0" applyFont="1" applyBorder="1" applyAlignment="1">
      <alignment vertical="center" wrapText="1"/>
    </xf>
    <xf numFmtId="0" fontId="11" fillId="4" borderId="1" xfId="0" applyNumberFormat="1" applyFont="1" applyFill="1" applyBorder="1" applyAlignment="1">
      <alignment horizontal="left" vertical="center" wrapText="1"/>
    </xf>
    <xf numFmtId="0" fontId="21" fillId="3" borderId="1" xfId="0" applyNumberFormat="1" applyFont="1" applyFill="1" applyBorder="1" applyAlignment="1">
      <alignment horizontal="left" vertical="center" wrapText="1"/>
    </xf>
    <xf numFmtId="0" fontId="21" fillId="3" borderId="2" xfId="0" applyNumberFormat="1" applyFont="1" applyFill="1" applyBorder="1" applyAlignment="1">
      <alignment horizontal="center" vertical="center" wrapText="1"/>
    </xf>
    <xf numFmtId="0" fontId="21" fillId="3" borderId="3"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1" fontId="21" fillId="3" borderId="2" xfId="0" applyNumberFormat="1" applyFont="1" applyFill="1" applyBorder="1" applyAlignment="1">
      <alignment horizontal="center" vertical="center" wrapText="1"/>
    </xf>
    <xf numFmtId="1" fontId="21" fillId="3" borderId="3" xfId="0" applyNumberFormat="1" applyFont="1" applyFill="1" applyBorder="1" applyAlignment="1">
      <alignment horizontal="center" vertical="center" wrapText="1"/>
    </xf>
    <xf numFmtId="1" fontId="21" fillId="3" borderId="4" xfId="0" applyNumberFormat="1" applyFont="1" applyFill="1" applyBorder="1" applyAlignment="1">
      <alignment horizontal="center" vertical="center" wrapText="1"/>
    </xf>
    <xf numFmtId="164" fontId="10" fillId="3" borderId="2" xfId="0" applyNumberFormat="1" applyFont="1" applyFill="1" applyBorder="1" applyAlignment="1">
      <alignment horizontal="left" vertical="center" wrapText="1"/>
    </xf>
    <xf numFmtId="164" fontId="10" fillId="3" borderId="3" xfId="0" applyNumberFormat="1" applyFont="1" applyFill="1" applyBorder="1" applyAlignment="1">
      <alignment horizontal="left" vertical="center" wrapText="1"/>
    </xf>
    <xf numFmtId="164" fontId="10" fillId="3" borderId="4" xfId="0" applyNumberFormat="1" applyFont="1" applyFill="1" applyBorder="1" applyAlignment="1">
      <alignment horizontal="left" vertical="center" wrapText="1"/>
    </xf>
    <xf numFmtId="0" fontId="22" fillId="5" borderId="2" xfId="0" applyNumberFormat="1" applyFont="1" applyFill="1" applyBorder="1" applyAlignment="1">
      <alignment horizontal="left" vertical="center" wrapText="1"/>
    </xf>
    <xf numFmtId="0" fontId="22" fillId="5" borderId="3" xfId="0" applyNumberFormat="1" applyFont="1" applyFill="1" applyBorder="1" applyAlignment="1">
      <alignment horizontal="left" vertical="center" wrapText="1"/>
    </xf>
    <xf numFmtId="0" fontId="22" fillId="5" borderId="4" xfId="0" applyNumberFormat="1" applyFont="1" applyFill="1" applyBorder="1" applyAlignment="1">
      <alignment horizontal="left" vertical="center" wrapText="1"/>
    </xf>
    <xf numFmtId="0" fontId="9" fillId="2" borderId="3" xfId="0" applyNumberFormat="1" applyFont="1" applyFill="1" applyBorder="1" applyAlignment="1">
      <alignment horizontal="right" vertical="center" wrapText="1"/>
    </xf>
    <xf numFmtId="0" fontId="9" fillId="2" borderId="4" xfId="0" applyNumberFormat="1" applyFont="1" applyFill="1" applyBorder="1" applyAlignment="1">
      <alignment horizontal="right" vertical="center" wrapText="1"/>
    </xf>
    <xf numFmtId="0" fontId="21" fillId="0" borderId="2" xfId="0" applyNumberFormat="1" applyFont="1" applyFill="1" applyBorder="1" applyAlignment="1">
      <alignment horizontal="left" vertical="center" wrapText="1"/>
    </xf>
  </cellXfs>
  <cellStyles count="7">
    <cellStyle name="Normal" xfId="0" builtinId="0"/>
    <cellStyle name="Normal 2" xfId="3" xr:uid="{201EFB4A-17D6-4EB0-8A0F-BF2FEA5913F5}"/>
    <cellStyle name="Normal 3" xfId="1" xr:uid="{C85D67C8-7E4B-4B57-AEB8-1C53FDE2C9E3}"/>
    <cellStyle name="Normal 3 2" xfId="5" xr:uid="{09808B9D-BEF4-4DB7-8F24-252B2570B3F4}"/>
    <cellStyle name="Normal 3 3" xfId="4" xr:uid="{A5538F18-7362-4092-8BF5-25907E6A968B}"/>
    <cellStyle name="Normal 4" xfId="6" xr:uid="{8D0E8AE7-BF60-4263-97CC-08A0AC016B6F}"/>
    <cellStyle name="Normal 5" xfId="2" xr:uid="{3CBD6B1A-49B9-4F9A-876B-920A61130330}"/>
  </cellStyles>
  <dxfs count="18">
    <dxf>
      <fill>
        <patternFill>
          <bgColor theme="9" tint="0.59996337778862885"/>
        </patternFill>
      </fill>
    </dxf>
    <dxf>
      <fill>
        <patternFill>
          <bgColor theme="9" tint="0.59996337778862885"/>
        </patternFill>
      </fill>
    </dxf>
    <dxf>
      <font>
        <color theme="1" tint="0.24994659260841701"/>
      </font>
      <fill>
        <patternFill>
          <bgColor theme="7" tint="0.39994506668294322"/>
        </patternFill>
      </fill>
    </dxf>
    <dxf>
      <fill>
        <patternFill>
          <bgColor theme="9" tint="0.59996337778862885"/>
        </patternFill>
      </fill>
    </dxf>
    <dxf>
      <fill>
        <patternFill>
          <bgColor theme="7" tint="0.39994506668294322"/>
        </patternFill>
      </fill>
    </dxf>
    <dxf>
      <fill>
        <patternFill>
          <bgColor theme="9" tint="0.59996337778862885"/>
        </patternFill>
      </fill>
    </dxf>
    <dxf>
      <font>
        <color theme="1" tint="0.24994659260841701"/>
      </font>
      <fill>
        <patternFill>
          <bgColor theme="7" tint="0.39994506668294322"/>
        </patternFill>
      </fill>
    </dxf>
    <dxf>
      <fill>
        <patternFill>
          <bgColor theme="9" tint="0.59996337778862885"/>
        </patternFill>
      </fill>
    </dxf>
    <dxf>
      <fill>
        <patternFill>
          <bgColor theme="9" tint="0.59996337778862885"/>
        </patternFill>
      </fill>
    </dxf>
    <dxf>
      <font>
        <color theme="1" tint="0.24994659260841701"/>
      </font>
      <fill>
        <patternFill>
          <bgColor theme="7" tint="0.39994506668294322"/>
        </patternFill>
      </fill>
    </dxf>
    <dxf>
      <font>
        <color theme="1" tint="0.34998626667073579"/>
      </font>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1668780</xdr:colOff>
      <xdr:row>2</xdr:row>
      <xdr:rowOff>64770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8780" cy="5029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422031</xdr:colOff>
          <xdr:row>26</xdr:row>
          <xdr:rowOff>218049</xdr:rowOff>
        </xdr:from>
        <xdr:to>
          <xdr:col>0</xdr:col>
          <xdr:colOff>696351</xdr:colOff>
          <xdr:row>28</xdr:row>
          <xdr:rowOff>49237</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422031</xdr:colOff>
          <xdr:row>27</xdr:row>
          <xdr:rowOff>189914</xdr:rowOff>
        </xdr:from>
        <xdr:to>
          <xdr:col>0</xdr:col>
          <xdr:colOff>696351</xdr:colOff>
          <xdr:row>29</xdr:row>
          <xdr:rowOff>7034</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422031</xdr:colOff>
          <xdr:row>30</xdr:row>
          <xdr:rowOff>189914</xdr:rowOff>
        </xdr:from>
        <xdr:to>
          <xdr:col>0</xdr:col>
          <xdr:colOff>696351</xdr:colOff>
          <xdr:row>32</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422031</xdr:colOff>
          <xdr:row>29</xdr:row>
          <xdr:rowOff>189914</xdr:rowOff>
        </xdr:from>
        <xdr:to>
          <xdr:col>0</xdr:col>
          <xdr:colOff>696351</xdr:colOff>
          <xdr:row>31</xdr:row>
          <xdr:rowOff>7034</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422031</xdr:colOff>
          <xdr:row>33</xdr:row>
          <xdr:rowOff>189914</xdr:rowOff>
        </xdr:from>
        <xdr:to>
          <xdr:col>0</xdr:col>
          <xdr:colOff>696351</xdr:colOff>
          <xdr:row>35</xdr:row>
          <xdr:rowOff>7034</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422031</xdr:colOff>
          <xdr:row>34</xdr:row>
          <xdr:rowOff>196948</xdr:rowOff>
        </xdr:from>
        <xdr:to>
          <xdr:col>0</xdr:col>
          <xdr:colOff>696351</xdr:colOff>
          <xdr:row>36</xdr:row>
          <xdr:rowOff>7034</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422031</xdr:colOff>
          <xdr:row>35</xdr:row>
          <xdr:rowOff>196948</xdr:rowOff>
        </xdr:from>
        <xdr:to>
          <xdr:col>0</xdr:col>
          <xdr:colOff>696351</xdr:colOff>
          <xdr:row>37</xdr:row>
          <xdr:rowOff>7034</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422031</xdr:colOff>
          <xdr:row>28</xdr:row>
          <xdr:rowOff>189914</xdr:rowOff>
        </xdr:from>
        <xdr:to>
          <xdr:col>0</xdr:col>
          <xdr:colOff>696351</xdr:colOff>
          <xdr:row>30</xdr:row>
          <xdr:rowOff>7034</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422031</xdr:colOff>
          <xdr:row>32</xdr:row>
          <xdr:rowOff>196948</xdr:rowOff>
        </xdr:from>
        <xdr:to>
          <xdr:col>0</xdr:col>
          <xdr:colOff>696351</xdr:colOff>
          <xdr:row>34</xdr:row>
          <xdr:rowOff>7034</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422031</xdr:colOff>
          <xdr:row>36</xdr:row>
          <xdr:rowOff>196948</xdr:rowOff>
        </xdr:from>
        <xdr:to>
          <xdr:col>0</xdr:col>
          <xdr:colOff>696351</xdr:colOff>
          <xdr:row>38</xdr:row>
          <xdr:rowOff>7034</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422031</xdr:colOff>
          <xdr:row>37</xdr:row>
          <xdr:rowOff>189914</xdr:rowOff>
        </xdr:from>
        <xdr:to>
          <xdr:col>0</xdr:col>
          <xdr:colOff>696351</xdr:colOff>
          <xdr:row>39</xdr:row>
          <xdr:rowOff>7034</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422031</xdr:colOff>
          <xdr:row>31</xdr:row>
          <xdr:rowOff>182880</xdr:rowOff>
        </xdr:from>
        <xdr:to>
          <xdr:col>0</xdr:col>
          <xdr:colOff>696351</xdr:colOff>
          <xdr:row>32</xdr:row>
          <xdr:rowOff>267286</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workbookViewId="0">
      <selection activeCell="C9" sqref="C9"/>
    </sheetView>
  </sheetViews>
  <sheetFormatPr defaultRowHeight="14.95" x14ac:dyDescent="0.25"/>
  <cols>
    <col min="3" max="3" width="13.0703125" customWidth="1"/>
  </cols>
  <sheetData>
    <row r="1" spans="1:3" x14ac:dyDescent="0.25">
      <c r="A1" t="s">
        <v>128</v>
      </c>
      <c r="C1" t="s">
        <v>128</v>
      </c>
    </row>
    <row r="2" spans="1:3" x14ac:dyDescent="0.25">
      <c r="A2" t="s">
        <v>129</v>
      </c>
      <c r="C2" t="s">
        <v>129</v>
      </c>
    </row>
    <row r="3" spans="1:3" ht="21.05" customHeight="1" x14ac:dyDescent="0.25">
      <c r="C3" t="s">
        <v>130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4308F-4602-46A4-B274-DF226732242C}">
  <dimension ref="A1:C23"/>
  <sheetViews>
    <sheetView tabSelected="1" workbookViewId="0">
      <selection activeCell="C7" sqref="C7"/>
    </sheetView>
  </sheetViews>
  <sheetFormatPr defaultRowHeight="14.95" x14ac:dyDescent="0.25"/>
  <cols>
    <col min="1" max="1" width="19.7109375" customWidth="1"/>
    <col min="3" max="3" width="59.5703125" customWidth="1"/>
  </cols>
  <sheetData>
    <row r="1" spans="1:3" ht="18.850000000000001" thickBot="1" x14ac:dyDescent="0.3">
      <c r="C1" s="80"/>
    </row>
    <row r="6" spans="1:3" ht="31.05" x14ac:dyDescent="0.65">
      <c r="A6" s="85" t="s">
        <v>659</v>
      </c>
      <c r="B6" s="86"/>
      <c r="C6" s="86"/>
    </row>
    <row r="7" spans="1:3" x14ac:dyDescent="0.3">
      <c r="A7" s="55" t="s">
        <v>662</v>
      </c>
    </row>
    <row r="8" spans="1:3" x14ac:dyDescent="0.3">
      <c r="A8" s="55" t="s">
        <v>665</v>
      </c>
    </row>
    <row r="9" spans="1:3" x14ac:dyDescent="0.3">
      <c r="A9" s="55" t="s">
        <v>618</v>
      </c>
    </row>
    <row r="10" spans="1:3" x14ac:dyDescent="0.3">
      <c r="A10" s="55"/>
    </row>
    <row r="11" spans="1:3" x14ac:dyDescent="0.25">
      <c r="A11" s="56"/>
    </row>
    <row r="12" spans="1:3" ht="16.100000000000001" x14ac:dyDescent="0.35">
      <c r="A12" s="57" t="s">
        <v>617</v>
      </c>
    </row>
    <row r="13" spans="1:3" x14ac:dyDescent="0.25">
      <c r="A13" s="83" t="s">
        <v>648</v>
      </c>
      <c r="B13" s="83"/>
      <c r="C13" s="83"/>
    </row>
    <row r="14" spans="1:3" x14ac:dyDescent="0.25">
      <c r="A14" s="58"/>
    </row>
    <row r="15" spans="1:3" ht="88.5" customHeight="1" x14ac:dyDescent="0.25">
      <c r="A15" s="84" t="s">
        <v>640</v>
      </c>
      <c r="B15" s="84"/>
      <c r="C15" s="84"/>
    </row>
    <row r="17" spans="1:3" ht="15.55" thickBot="1" x14ac:dyDescent="0.35">
      <c r="A17" s="65" t="s">
        <v>642</v>
      </c>
      <c r="B17" s="59"/>
      <c r="C17" s="59"/>
    </row>
    <row r="18" spans="1:3" ht="15.55" thickBot="1" x14ac:dyDescent="0.35">
      <c r="A18" s="64" t="s">
        <v>643</v>
      </c>
      <c r="B18" s="63" t="s">
        <v>644</v>
      </c>
      <c r="C18" s="63" t="s">
        <v>645</v>
      </c>
    </row>
    <row r="19" spans="1:3" ht="15.55" thickBot="1" x14ac:dyDescent="0.35">
      <c r="A19" s="62">
        <v>43958</v>
      </c>
      <c r="B19" s="61">
        <v>1</v>
      </c>
      <c r="C19" s="60" t="s">
        <v>646</v>
      </c>
    </row>
    <row r="20" spans="1:3" ht="15.55" thickBot="1" x14ac:dyDescent="0.35">
      <c r="A20" s="62">
        <v>44095</v>
      </c>
      <c r="B20" s="61">
        <v>1.1000000000000001</v>
      </c>
      <c r="C20" s="70" t="s">
        <v>647</v>
      </c>
    </row>
    <row r="21" spans="1:3" ht="202.15" thickBot="1" x14ac:dyDescent="0.3">
      <c r="A21" s="82">
        <v>44351</v>
      </c>
      <c r="B21" s="72">
        <v>2</v>
      </c>
      <c r="C21" s="78" t="s">
        <v>660</v>
      </c>
    </row>
    <row r="22" spans="1:3" x14ac:dyDescent="0.3">
      <c r="A22" s="66"/>
      <c r="B22" s="67"/>
      <c r="C22" s="68"/>
    </row>
    <row r="23" spans="1:3" x14ac:dyDescent="0.25">
      <c r="A23" s="69"/>
      <c r="B23" s="69"/>
      <c r="C23" s="69"/>
    </row>
  </sheetData>
  <mergeCells count="3">
    <mergeCell ref="A13:C13"/>
    <mergeCell ref="A15:C15"/>
    <mergeCell ref="A6:C6"/>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V278"/>
  <sheetViews>
    <sheetView zoomScale="80" zoomScaleNormal="80" workbookViewId="0">
      <pane ySplit="1" topLeftCell="A2" activePane="bottomLeft" state="frozen"/>
      <selection pane="bottomLeft" sqref="A1:F1"/>
    </sheetView>
  </sheetViews>
  <sheetFormatPr defaultColWidth="6.5703125" defaultRowHeight="14.95" customHeight="1" x14ac:dyDescent="0.3"/>
  <cols>
    <col min="1" max="1" width="10.2109375" style="2" customWidth="1"/>
    <col min="2" max="2" width="53.0703125" style="1" customWidth="1"/>
    <col min="3" max="5" width="19.0703125" style="8" customWidth="1"/>
    <col min="6" max="6" width="34.42578125" style="9" customWidth="1"/>
    <col min="7" max="7" width="27.5703125" style="10" customWidth="1"/>
    <col min="8" max="8" width="15.78515625" style="44" customWidth="1"/>
    <col min="9" max="9" width="18.5" style="47" customWidth="1"/>
    <col min="10" max="178" width="6.5703125" style="1" customWidth="1"/>
    <col min="179" max="16384" width="6.5703125" style="2"/>
  </cols>
  <sheetData>
    <row r="1" spans="1:9" ht="69.8" customHeight="1" x14ac:dyDescent="0.3">
      <c r="A1" s="109" t="s">
        <v>649</v>
      </c>
      <c r="B1" s="109"/>
      <c r="C1" s="109"/>
      <c r="D1" s="109"/>
      <c r="E1" s="109"/>
      <c r="F1" s="109"/>
      <c r="G1" s="11" t="s">
        <v>663</v>
      </c>
      <c r="H1" s="81"/>
      <c r="I1" s="11"/>
    </row>
    <row r="2" spans="1:9" ht="29.1" customHeight="1" x14ac:dyDescent="0.3">
      <c r="A2" s="126" t="s">
        <v>126</v>
      </c>
      <c r="B2" s="127"/>
      <c r="C2" s="120" t="s">
        <v>0</v>
      </c>
      <c r="D2" s="121"/>
      <c r="E2" s="121"/>
      <c r="F2" s="121"/>
      <c r="G2" s="121"/>
      <c r="H2" s="121"/>
      <c r="I2" s="122"/>
    </row>
    <row r="3" spans="1:9" ht="36" customHeight="1" x14ac:dyDescent="0.3">
      <c r="A3" s="105" t="s">
        <v>1</v>
      </c>
      <c r="B3" s="106"/>
      <c r="C3" s="106"/>
      <c r="D3" s="106"/>
      <c r="E3" s="106"/>
      <c r="F3" s="106"/>
      <c r="G3" s="106"/>
      <c r="H3" s="106"/>
      <c r="I3" s="107"/>
    </row>
    <row r="4" spans="1:9" ht="138.05000000000001" customHeight="1" x14ac:dyDescent="0.3">
      <c r="A4" s="123" t="s">
        <v>664</v>
      </c>
      <c r="B4" s="124"/>
      <c r="C4" s="124"/>
      <c r="D4" s="124"/>
      <c r="E4" s="124"/>
      <c r="F4" s="124"/>
      <c r="G4" s="124"/>
      <c r="H4" s="124"/>
      <c r="I4" s="125"/>
    </row>
    <row r="5" spans="1:9" ht="23.95" customHeight="1" x14ac:dyDescent="0.3">
      <c r="A5" s="98" t="s">
        <v>621</v>
      </c>
      <c r="B5" s="99"/>
      <c r="C5" s="99"/>
      <c r="D5" s="99"/>
      <c r="E5" s="99"/>
      <c r="F5" s="99"/>
      <c r="G5" s="99"/>
      <c r="H5" s="99"/>
      <c r="I5" s="100"/>
    </row>
    <row r="6" spans="1:9" ht="22.3" customHeight="1" x14ac:dyDescent="0.3">
      <c r="A6" s="29" t="s">
        <v>2</v>
      </c>
      <c r="B6" s="50" t="s">
        <v>622</v>
      </c>
      <c r="C6" s="93" t="s">
        <v>622</v>
      </c>
      <c r="D6" s="94"/>
      <c r="E6" s="94"/>
      <c r="F6" s="94"/>
      <c r="G6" s="94"/>
      <c r="H6" s="94"/>
      <c r="I6" s="95"/>
    </row>
    <row r="7" spans="1:9" ht="22.3" customHeight="1" x14ac:dyDescent="0.3">
      <c r="A7" s="29" t="s">
        <v>3</v>
      </c>
      <c r="B7" s="50" t="s">
        <v>623</v>
      </c>
      <c r="C7" s="93" t="s">
        <v>624</v>
      </c>
      <c r="D7" s="94"/>
      <c r="E7" s="94"/>
      <c r="F7" s="94"/>
      <c r="G7" s="94"/>
      <c r="H7" s="94"/>
      <c r="I7" s="95"/>
    </row>
    <row r="8" spans="1:9" ht="22.3" customHeight="1" x14ac:dyDescent="0.3">
      <c r="A8" s="29" t="s">
        <v>4</v>
      </c>
      <c r="B8" s="50" t="s">
        <v>404</v>
      </c>
      <c r="C8" s="88" t="s">
        <v>404</v>
      </c>
      <c r="D8" s="89"/>
      <c r="E8" s="89"/>
      <c r="F8" s="89"/>
      <c r="G8" s="89"/>
      <c r="H8" s="89"/>
      <c r="I8" s="90"/>
    </row>
    <row r="9" spans="1:9" ht="22.3" customHeight="1" x14ac:dyDescent="0.3">
      <c r="A9" s="29" t="s">
        <v>5</v>
      </c>
      <c r="B9" s="50" t="s">
        <v>405</v>
      </c>
      <c r="C9" s="88" t="s">
        <v>405</v>
      </c>
      <c r="D9" s="91"/>
      <c r="E9" s="91"/>
      <c r="F9" s="91"/>
      <c r="G9" s="91"/>
      <c r="H9" s="91"/>
      <c r="I9" s="92"/>
    </row>
    <row r="10" spans="1:9" ht="22.3" customHeight="1" x14ac:dyDescent="0.3">
      <c r="A10" s="29" t="s">
        <v>7</v>
      </c>
      <c r="B10" s="50" t="s">
        <v>406</v>
      </c>
      <c r="C10" s="88" t="s">
        <v>406</v>
      </c>
      <c r="D10" s="91"/>
      <c r="E10" s="91"/>
      <c r="F10" s="91"/>
      <c r="G10" s="91"/>
      <c r="H10" s="91"/>
      <c r="I10" s="92"/>
    </row>
    <row r="11" spans="1:9" ht="22.3" customHeight="1" x14ac:dyDescent="0.3">
      <c r="A11" s="29" t="s">
        <v>8</v>
      </c>
      <c r="B11" s="50" t="s">
        <v>407</v>
      </c>
      <c r="C11" s="88" t="s">
        <v>407</v>
      </c>
      <c r="D11" s="91"/>
      <c r="E11" s="91"/>
      <c r="F11" s="91"/>
      <c r="G11" s="91"/>
      <c r="H11" s="91"/>
      <c r="I11" s="92"/>
    </row>
    <row r="12" spans="1:9" ht="22.3" customHeight="1" x14ac:dyDescent="0.3">
      <c r="A12" s="29" t="s">
        <v>9</v>
      </c>
      <c r="B12" s="50" t="s">
        <v>139</v>
      </c>
      <c r="C12" s="88" t="s">
        <v>140</v>
      </c>
      <c r="D12" s="91"/>
      <c r="E12" s="91"/>
      <c r="F12" s="91"/>
      <c r="G12" s="91"/>
      <c r="H12" s="91"/>
      <c r="I12" s="92"/>
    </row>
    <row r="13" spans="1:9" ht="22.3" customHeight="1" x14ac:dyDescent="0.3">
      <c r="A13" s="29" t="s">
        <v>10</v>
      </c>
      <c r="B13" s="50" t="s">
        <v>141</v>
      </c>
      <c r="C13" s="88" t="s">
        <v>142</v>
      </c>
      <c r="D13" s="91"/>
      <c r="E13" s="91"/>
      <c r="F13" s="91"/>
      <c r="G13" s="91"/>
      <c r="H13" s="91"/>
      <c r="I13" s="92"/>
    </row>
    <row r="14" spans="1:9" ht="22.3" customHeight="1" x14ac:dyDescent="0.3">
      <c r="A14" s="29" t="s">
        <v>12</v>
      </c>
      <c r="B14" s="50" t="s">
        <v>6</v>
      </c>
      <c r="C14" s="88" t="s">
        <v>619</v>
      </c>
      <c r="D14" s="91"/>
      <c r="E14" s="91"/>
      <c r="F14" s="91"/>
      <c r="G14" s="91"/>
      <c r="H14" s="91"/>
      <c r="I14" s="92"/>
    </row>
    <row r="15" spans="1:9" ht="22.3" customHeight="1" x14ac:dyDescent="0.3">
      <c r="A15" s="29" t="s">
        <v>13</v>
      </c>
      <c r="B15" s="50" t="s">
        <v>625</v>
      </c>
      <c r="C15" s="88" t="s">
        <v>155</v>
      </c>
      <c r="D15" s="91"/>
      <c r="E15" s="91"/>
      <c r="F15" s="91"/>
      <c r="G15" s="91"/>
      <c r="H15" s="91"/>
      <c r="I15" s="92"/>
    </row>
    <row r="16" spans="1:9" ht="22.3" customHeight="1" x14ac:dyDescent="0.3">
      <c r="A16" s="29" t="s">
        <v>14</v>
      </c>
      <c r="B16" s="50" t="s">
        <v>626</v>
      </c>
      <c r="C16" s="88" t="s">
        <v>152</v>
      </c>
      <c r="D16" s="91"/>
      <c r="E16" s="91"/>
      <c r="F16" s="91"/>
      <c r="G16" s="91"/>
      <c r="H16" s="91"/>
      <c r="I16" s="92"/>
    </row>
    <row r="17" spans="1:9" ht="34.5" customHeight="1" x14ac:dyDescent="0.3">
      <c r="A17" s="29" t="s">
        <v>15</v>
      </c>
      <c r="B17" s="50" t="s">
        <v>408</v>
      </c>
      <c r="C17" s="88" t="s">
        <v>509</v>
      </c>
      <c r="D17" s="91"/>
      <c r="E17" s="91"/>
      <c r="F17" s="91"/>
      <c r="G17" s="91"/>
      <c r="H17" s="91"/>
      <c r="I17" s="92"/>
    </row>
    <row r="18" spans="1:9" ht="22.3" customHeight="1" x14ac:dyDescent="0.3">
      <c r="A18" s="29" t="s">
        <v>96</v>
      </c>
      <c r="B18" s="50" t="s">
        <v>151</v>
      </c>
      <c r="C18" s="93" t="s">
        <v>155</v>
      </c>
      <c r="D18" s="94"/>
      <c r="E18" s="94"/>
      <c r="F18" s="94"/>
      <c r="G18" s="94"/>
      <c r="H18" s="94"/>
      <c r="I18" s="95"/>
    </row>
    <row r="19" spans="1:9" ht="22.3" customHeight="1" x14ac:dyDescent="0.3">
      <c r="A19" s="29" t="s">
        <v>502</v>
      </c>
      <c r="B19" s="50" t="s">
        <v>627</v>
      </c>
      <c r="C19" s="88" t="s">
        <v>628</v>
      </c>
      <c r="D19" s="91"/>
      <c r="E19" s="91"/>
      <c r="F19" s="91"/>
      <c r="G19" s="91"/>
      <c r="H19" s="91"/>
      <c r="I19" s="92"/>
    </row>
    <row r="20" spans="1:9" ht="22.3" customHeight="1" x14ac:dyDescent="0.3">
      <c r="A20" s="29" t="s">
        <v>503</v>
      </c>
      <c r="B20" s="50" t="s">
        <v>629</v>
      </c>
      <c r="C20" s="88" t="s">
        <v>629</v>
      </c>
      <c r="D20" s="91"/>
      <c r="E20" s="91"/>
      <c r="F20" s="91"/>
      <c r="G20" s="91"/>
      <c r="H20" s="91"/>
      <c r="I20" s="92"/>
    </row>
    <row r="21" spans="1:9" ht="22.3" customHeight="1" x14ac:dyDescent="0.3">
      <c r="A21" s="29" t="s">
        <v>504</v>
      </c>
      <c r="B21" s="50" t="s">
        <v>630</v>
      </c>
      <c r="C21" s="88" t="s">
        <v>631</v>
      </c>
      <c r="D21" s="91"/>
      <c r="E21" s="91"/>
      <c r="F21" s="91"/>
      <c r="G21" s="91"/>
      <c r="H21" s="91"/>
      <c r="I21" s="92"/>
    </row>
    <row r="22" spans="1:9" ht="22.3" customHeight="1" x14ac:dyDescent="0.3">
      <c r="A22" s="29" t="s">
        <v>505</v>
      </c>
      <c r="B22" s="50" t="s">
        <v>632</v>
      </c>
      <c r="C22" s="93" t="s">
        <v>632</v>
      </c>
      <c r="D22" s="94"/>
      <c r="E22" s="94"/>
      <c r="F22" s="94"/>
      <c r="G22" s="94"/>
      <c r="H22" s="94"/>
      <c r="I22" s="95"/>
    </row>
    <row r="23" spans="1:9" ht="22.3" customHeight="1" x14ac:dyDescent="0.3">
      <c r="A23" s="29" t="s">
        <v>506</v>
      </c>
      <c r="B23" s="50" t="s">
        <v>633</v>
      </c>
      <c r="C23" s="93" t="s">
        <v>633</v>
      </c>
      <c r="D23" s="94"/>
      <c r="E23" s="94"/>
      <c r="F23" s="94"/>
      <c r="G23" s="94"/>
      <c r="H23" s="94"/>
      <c r="I23" s="95"/>
    </row>
    <row r="24" spans="1:9" ht="22.3" customHeight="1" x14ac:dyDescent="0.3">
      <c r="A24" s="29" t="s">
        <v>507</v>
      </c>
      <c r="B24" s="50" t="s">
        <v>634</v>
      </c>
      <c r="C24" s="93" t="s">
        <v>635</v>
      </c>
      <c r="D24" s="94"/>
      <c r="E24" s="94"/>
      <c r="F24" s="94"/>
      <c r="G24" s="94"/>
      <c r="H24" s="94"/>
      <c r="I24" s="95"/>
    </row>
    <row r="25" spans="1:9" ht="22.3" customHeight="1" x14ac:dyDescent="0.3">
      <c r="A25" s="29" t="s">
        <v>508</v>
      </c>
      <c r="B25" s="50" t="s">
        <v>636</v>
      </c>
      <c r="C25" s="93" t="s">
        <v>11</v>
      </c>
      <c r="D25" s="94"/>
      <c r="E25" s="94"/>
      <c r="F25" s="94"/>
      <c r="G25" s="94"/>
      <c r="H25" s="94"/>
      <c r="I25" s="95"/>
    </row>
    <row r="26" spans="1:9" s="1" customFormat="1" ht="22.3" customHeight="1" x14ac:dyDescent="0.3">
      <c r="A26" s="98" t="s">
        <v>658</v>
      </c>
      <c r="B26" s="99"/>
      <c r="C26" s="99"/>
      <c r="D26" s="99"/>
      <c r="E26" s="99"/>
      <c r="F26" s="99"/>
      <c r="G26" s="99"/>
      <c r="H26" s="99"/>
      <c r="I26" s="100"/>
    </row>
    <row r="27" spans="1:9" s="1" customFormat="1" ht="22.3" customHeight="1" x14ac:dyDescent="0.3">
      <c r="A27" s="110" t="s">
        <v>107</v>
      </c>
      <c r="B27" s="110"/>
      <c r="C27" s="110"/>
      <c r="D27" s="110"/>
      <c r="E27" s="110"/>
      <c r="F27" s="110"/>
      <c r="G27" s="110"/>
      <c r="H27" s="39"/>
      <c r="I27" s="45"/>
    </row>
    <row r="28" spans="1:9" s="1" customFormat="1" ht="22.3" customHeight="1" x14ac:dyDescent="0.3">
      <c r="A28" s="13"/>
      <c r="B28" s="71" t="s">
        <v>100</v>
      </c>
      <c r="C28" s="71"/>
      <c r="D28" s="71"/>
      <c r="E28" s="71"/>
      <c r="F28" s="71"/>
      <c r="G28" s="71"/>
      <c r="H28" s="40"/>
      <c r="I28" s="46"/>
    </row>
    <row r="29" spans="1:9" s="1" customFormat="1" ht="22.3" customHeight="1" x14ac:dyDescent="0.3">
      <c r="A29" s="13"/>
      <c r="B29" s="71" t="s">
        <v>101</v>
      </c>
      <c r="C29" s="71"/>
      <c r="D29" s="71"/>
      <c r="E29" s="71"/>
      <c r="F29" s="71"/>
      <c r="G29" s="71"/>
      <c r="H29" s="40"/>
      <c r="I29" s="46"/>
    </row>
    <row r="30" spans="1:9" s="1" customFormat="1" ht="22.3" customHeight="1" x14ac:dyDescent="0.3">
      <c r="A30" s="13"/>
      <c r="B30" s="71" t="s">
        <v>102</v>
      </c>
      <c r="C30" s="71"/>
      <c r="D30" s="71"/>
      <c r="E30" s="71"/>
      <c r="F30" s="71"/>
      <c r="G30" s="71"/>
      <c r="H30" s="40"/>
      <c r="I30" s="46"/>
    </row>
    <row r="31" spans="1:9" s="1" customFormat="1" ht="22.3" customHeight="1" x14ac:dyDescent="0.3">
      <c r="A31" s="13"/>
      <c r="B31" s="79" t="s">
        <v>661</v>
      </c>
      <c r="C31" s="71"/>
      <c r="D31" s="71"/>
      <c r="E31" s="71"/>
      <c r="F31" s="71"/>
      <c r="G31" s="71"/>
      <c r="H31" s="40"/>
      <c r="I31" s="46"/>
    </row>
    <row r="32" spans="1:9" s="1" customFormat="1" ht="22.3" customHeight="1" x14ac:dyDescent="0.3">
      <c r="A32" s="13"/>
      <c r="B32" s="79" t="s">
        <v>650</v>
      </c>
      <c r="C32" s="71"/>
      <c r="D32" s="71"/>
      <c r="E32" s="71"/>
      <c r="F32" s="71"/>
      <c r="G32" s="71"/>
      <c r="H32" s="40"/>
      <c r="I32" s="46"/>
    </row>
    <row r="33" spans="1:9" s="1" customFormat="1" ht="22.3" customHeight="1" x14ac:dyDescent="0.3">
      <c r="A33" s="13"/>
      <c r="B33" s="71" t="s">
        <v>103</v>
      </c>
      <c r="C33" s="71"/>
      <c r="D33" s="71"/>
      <c r="E33" s="71"/>
      <c r="F33" s="71"/>
      <c r="G33" s="71"/>
      <c r="H33" s="40"/>
      <c r="I33" s="46"/>
    </row>
    <row r="34" spans="1:9" s="1" customFormat="1" ht="22.3" customHeight="1" x14ac:dyDescent="0.3">
      <c r="A34" s="13"/>
      <c r="B34" s="71" t="s">
        <v>527</v>
      </c>
      <c r="C34" s="71"/>
      <c r="D34" s="71"/>
      <c r="E34" s="71"/>
      <c r="F34" s="71"/>
      <c r="G34" s="71"/>
      <c r="H34" s="40"/>
      <c r="I34" s="46"/>
    </row>
    <row r="35" spans="1:9" s="1" customFormat="1" ht="22.3" customHeight="1" x14ac:dyDescent="0.3">
      <c r="A35" s="13"/>
      <c r="B35" s="71" t="s">
        <v>104</v>
      </c>
      <c r="C35" s="71"/>
      <c r="D35" s="71"/>
      <c r="E35" s="71"/>
      <c r="F35" s="71"/>
      <c r="G35" s="71"/>
      <c r="H35" s="40"/>
      <c r="I35" s="46"/>
    </row>
    <row r="36" spans="1:9" s="1" customFormat="1" ht="22.3" customHeight="1" x14ac:dyDescent="0.3">
      <c r="A36" s="13"/>
      <c r="B36" s="71" t="s">
        <v>105</v>
      </c>
      <c r="C36" s="71"/>
      <c r="D36" s="71"/>
      <c r="E36" s="71"/>
      <c r="F36" s="71"/>
      <c r="G36" s="71"/>
      <c r="H36" s="40"/>
      <c r="I36" s="46"/>
    </row>
    <row r="37" spans="1:9" s="1" customFormat="1" ht="22.3" customHeight="1" x14ac:dyDescent="0.3">
      <c r="A37" s="13"/>
      <c r="B37" s="71" t="s">
        <v>106</v>
      </c>
      <c r="C37" s="71"/>
      <c r="D37" s="71"/>
      <c r="E37" s="71"/>
      <c r="F37" s="71"/>
      <c r="G37" s="71"/>
      <c r="H37" s="40"/>
      <c r="I37" s="46"/>
    </row>
    <row r="38" spans="1:9" s="1" customFormat="1" ht="22.3" customHeight="1" x14ac:dyDescent="0.3">
      <c r="A38" s="13"/>
      <c r="B38" s="71" t="s">
        <v>528</v>
      </c>
      <c r="C38" s="71"/>
      <c r="D38" s="71"/>
      <c r="E38" s="71"/>
      <c r="F38" s="71"/>
      <c r="G38" s="71"/>
      <c r="H38" s="40"/>
      <c r="I38" s="46"/>
    </row>
    <row r="39" spans="1:9" s="1" customFormat="1" ht="22.3" customHeight="1" x14ac:dyDescent="0.3">
      <c r="A39" s="13"/>
      <c r="B39" s="108" t="s">
        <v>651</v>
      </c>
      <c r="C39" s="108"/>
      <c r="D39" s="108"/>
      <c r="E39" s="108"/>
      <c r="F39" s="108"/>
      <c r="G39" s="108"/>
      <c r="H39" s="40"/>
      <c r="I39" s="46"/>
    </row>
    <row r="40" spans="1:9" s="1" customFormat="1" ht="75.05" customHeight="1" x14ac:dyDescent="0.3">
      <c r="A40" s="13"/>
      <c r="B40" s="14" t="s">
        <v>529</v>
      </c>
      <c r="C40" s="101"/>
      <c r="D40" s="101"/>
      <c r="E40" s="101"/>
      <c r="F40" s="101"/>
      <c r="G40" s="101"/>
      <c r="H40" s="101"/>
      <c r="I40" s="101"/>
    </row>
    <row r="41" spans="1:9" s="1" customFormat="1" ht="41.95" customHeight="1" x14ac:dyDescent="0.3">
      <c r="A41" s="13"/>
      <c r="B41" s="14" t="s">
        <v>127</v>
      </c>
      <c r="C41" s="101"/>
      <c r="D41" s="101"/>
      <c r="E41" s="101"/>
      <c r="F41" s="101"/>
      <c r="G41" s="101"/>
      <c r="H41" s="101"/>
      <c r="I41" s="101"/>
    </row>
    <row r="42" spans="1:9" s="1" customFormat="1" ht="36" customHeight="1" x14ac:dyDescent="0.3">
      <c r="A42" s="105" t="s">
        <v>16</v>
      </c>
      <c r="B42" s="106"/>
      <c r="C42" s="106"/>
      <c r="D42" s="106"/>
      <c r="E42" s="106"/>
      <c r="F42" s="106"/>
      <c r="G42" s="106"/>
      <c r="H42" s="106"/>
      <c r="I42" s="107"/>
    </row>
    <row r="43" spans="1:9" s="1" customFormat="1" ht="230.95" customHeight="1" x14ac:dyDescent="0.3">
      <c r="A43" s="102" t="s">
        <v>637</v>
      </c>
      <c r="B43" s="103"/>
      <c r="C43" s="103"/>
      <c r="D43" s="103"/>
      <c r="E43" s="103"/>
      <c r="F43" s="103"/>
      <c r="G43" s="103"/>
      <c r="H43" s="103"/>
      <c r="I43" s="104"/>
    </row>
    <row r="44" spans="1:9" s="1" customFormat="1" ht="54.85" x14ac:dyDescent="0.3">
      <c r="A44" s="111" t="s">
        <v>19</v>
      </c>
      <c r="B44" s="111"/>
      <c r="C44" s="3" t="s">
        <v>638</v>
      </c>
      <c r="D44" s="3" t="s">
        <v>639</v>
      </c>
      <c r="E44" s="3" t="s">
        <v>110</v>
      </c>
      <c r="F44" s="3" t="s">
        <v>17</v>
      </c>
      <c r="G44" s="4" t="s">
        <v>18</v>
      </c>
      <c r="H44" s="3" t="s">
        <v>386</v>
      </c>
      <c r="I44" s="3" t="s">
        <v>412</v>
      </c>
    </row>
    <row r="45" spans="1:9" s="1" customFormat="1" ht="83.1" customHeight="1" x14ac:dyDescent="0.3">
      <c r="A45" s="12" t="s">
        <v>182</v>
      </c>
      <c r="B45" s="22" t="s">
        <v>318</v>
      </c>
      <c r="C45" s="96"/>
      <c r="D45" s="97"/>
      <c r="E45" s="97"/>
      <c r="F45" s="23"/>
      <c r="G45" s="73" t="s">
        <v>410</v>
      </c>
      <c r="H45" s="51">
        <v>22</v>
      </c>
      <c r="I45" s="52" t="s">
        <v>492</v>
      </c>
    </row>
    <row r="46" spans="1:9" s="1" customFormat="1" ht="54" customHeight="1" x14ac:dyDescent="0.3">
      <c r="A46" s="12" t="s">
        <v>22</v>
      </c>
      <c r="B46" s="54" t="s">
        <v>20</v>
      </c>
      <c r="C46" s="87"/>
      <c r="D46" s="87"/>
      <c r="E46" s="87"/>
      <c r="F46" s="87"/>
      <c r="G46" s="73" t="s">
        <v>21</v>
      </c>
      <c r="H46" s="51"/>
      <c r="I46" s="52"/>
    </row>
    <row r="47" spans="1:9" s="1" customFormat="1" ht="54" customHeight="1" x14ac:dyDescent="0.3">
      <c r="A47" s="12" t="s">
        <v>25</v>
      </c>
      <c r="B47" s="54" t="s">
        <v>409</v>
      </c>
      <c r="C47" s="87"/>
      <c r="D47" s="87"/>
      <c r="E47" s="87"/>
      <c r="F47" s="87"/>
      <c r="G47" s="73" t="s">
        <v>21</v>
      </c>
      <c r="H47" s="51"/>
      <c r="I47" s="52"/>
    </row>
    <row r="48" spans="1:9" s="1" customFormat="1" ht="54" customHeight="1" x14ac:dyDescent="0.3">
      <c r="A48" s="12" t="s">
        <v>26</v>
      </c>
      <c r="B48" s="54" t="s">
        <v>23</v>
      </c>
      <c r="C48" s="87"/>
      <c r="D48" s="87"/>
      <c r="E48" s="87"/>
      <c r="F48" s="87"/>
      <c r="G48" s="73" t="s">
        <v>24</v>
      </c>
      <c r="H48" s="51"/>
      <c r="I48" s="52"/>
    </row>
    <row r="49" spans="1:9" s="1" customFormat="1" ht="54" customHeight="1" x14ac:dyDescent="0.3">
      <c r="A49" s="12" t="s">
        <v>27</v>
      </c>
      <c r="B49" s="54" t="s">
        <v>541</v>
      </c>
      <c r="C49" s="38"/>
      <c r="D49" s="38"/>
      <c r="E49" s="38"/>
      <c r="F49" s="38"/>
      <c r="G49" s="73"/>
      <c r="H49" s="51"/>
      <c r="I49" s="52"/>
    </row>
    <row r="50" spans="1:9" s="1" customFormat="1" ht="61.2" customHeight="1" x14ac:dyDescent="0.3">
      <c r="A50" s="12" t="s">
        <v>28</v>
      </c>
      <c r="B50" s="54" t="s">
        <v>542</v>
      </c>
      <c r="C50" s="38"/>
      <c r="D50" s="38"/>
      <c r="E50" s="38"/>
      <c r="F50" s="38"/>
      <c r="G50" s="73"/>
      <c r="H50" s="51"/>
      <c r="I50" s="52"/>
    </row>
    <row r="51" spans="1:9" s="1" customFormat="1" ht="54" customHeight="1" x14ac:dyDescent="0.3">
      <c r="A51" s="12" t="s">
        <v>29</v>
      </c>
      <c r="B51" s="54" t="s">
        <v>543</v>
      </c>
      <c r="C51" s="38"/>
      <c r="D51" s="38"/>
      <c r="E51" s="38"/>
      <c r="F51" s="38"/>
      <c r="G51" s="73"/>
      <c r="H51" s="51"/>
      <c r="I51" s="52"/>
    </row>
    <row r="52" spans="1:9" s="1" customFormat="1" ht="54" customHeight="1" x14ac:dyDescent="0.3">
      <c r="A52" s="12" t="s">
        <v>317</v>
      </c>
      <c r="B52" s="54" t="s">
        <v>97</v>
      </c>
      <c r="C52" s="17"/>
      <c r="D52" s="17"/>
      <c r="E52" s="17"/>
      <c r="F52" s="15"/>
      <c r="G52" s="75" t="str">
        <f>IF(C52="","",IF(C52="Yes","Provide a list of utility references, with contact information.","State your primary industry. Please provide appropriate references."))</f>
        <v/>
      </c>
      <c r="H52" s="51"/>
      <c r="I52" s="52"/>
    </row>
    <row r="53" spans="1:9" s="1" customFormat="1" ht="64.400000000000006" customHeight="1" x14ac:dyDescent="0.3">
      <c r="A53" s="12" t="s">
        <v>511</v>
      </c>
      <c r="B53" s="54" t="s">
        <v>544</v>
      </c>
      <c r="C53" s="17"/>
      <c r="D53" s="17"/>
      <c r="E53" s="17"/>
      <c r="F53" s="16"/>
      <c r="G53" s="73" t="str">
        <f>IF(C53="","",IF(C53="Yes","Provide a detailed summary of the breach and actions taken to mitigate identified vulnerabilities.",""))</f>
        <v/>
      </c>
      <c r="H53" s="53">
        <v>34</v>
      </c>
      <c r="I53" s="53" t="s">
        <v>442</v>
      </c>
    </row>
    <row r="54" spans="1:9" s="1" customFormat="1" ht="64.400000000000006" customHeight="1" x14ac:dyDescent="0.3">
      <c r="A54" s="12" t="s">
        <v>512</v>
      </c>
      <c r="B54" s="54" t="s">
        <v>500</v>
      </c>
      <c r="C54" s="17"/>
      <c r="D54" s="17"/>
      <c r="E54" s="17"/>
      <c r="F54" s="16"/>
      <c r="G54" s="73"/>
      <c r="H54" s="51"/>
      <c r="I54" s="52"/>
    </row>
    <row r="55" spans="1:9" s="1" customFormat="1" ht="78.8" customHeight="1" x14ac:dyDescent="0.3">
      <c r="A55" s="12" t="s">
        <v>513</v>
      </c>
      <c r="B55" s="54" t="s">
        <v>545</v>
      </c>
      <c r="C55" s="17"/>
      <c r="D55" s="17"/>
      <c r="E55" s="17"/>
      <c r="F55" s="16"/>
      <c r="G55" s="73"/>
      <c r="H55" s="51"/>
      <c r="I55" s="52"/>
    </row>
    <row r="56" spans="1:9" s="1" customFormat="1" ht="64.400000000000006" customHeight="1" x14ac:dyDescent="0.3">
      <c r="A56" s="12" t="s">
        <v>514</v>
      </c>
      <c r="B56" s="54" t="s">
        <v>501</v>
      </c>
      <c r="C56" s="17"/>
      <c r="D56" s="17"/>
      <c r="E56" s="17"/>
      <c r="F56" s="16"/>
      <c r="G56" s="73"/>
      <c r="H56" s="51"/>
      <c r="I56" s="52"/>
    </row>
    <row r="57" spans="1:9" s="1" customFormat="1" ht="54" customHeight="1" x14ac:dyDescent="0.3">
      <c r="A57" s="12" t="s">
        <v>515</v>
      </c>
      <c r="B57" s="54" t="s">
        <v>547</v>
      </c>
      <c r="C57" s="17"/>
      <c r="D57" s="17"/>
      <c r="E57" s="17"/>
      <c r="F57" s="15"/>
      <c r="G57" s="73" t="str">
        <f>IF(C57="","",IF(C57="Yes","Describe your Information Security Office, including size, talents, resources, etc.","Describe any plans to create an Information Security Office for your organization."))</f>
        <v/>
      </c>
      <c r="H57" s="51"/>
      <c r="I57" s="52"/>
    </row>
    <row r="58" spans="1:9" s="1" customFormat="1" ht="68.150000000000006" customHeight="1" x14ac:dyDescent="0.3">
      <c r="A58" s="12" t="s">
        <v>516</v>
      </c>
      <c r="B58" s="54" t="s">
        <v>546</v>
      </c>
      <c r="C58" s="17"/>
      <c r="D58" s="17"/>
      <c r="E58" s="17"/>
      <c r="F58" s="16"/>
      <c r="G58" s="73" t="str">
        <f>IF(C58="","",IF(C58="Yes","Describe the structure and size of your Software and System Development teams (e.g. Customer Support, Implementation, Product Management, etc.)","Describe your current teams/organizational structure, as well as any plans to create dedicated teams."))</f>
        <v/>
      </c>
      <c r="H58" s="51"/>
      <c r="I58" s="52"/>
    </row>
    <row r="59" spans="1:9" s="1" customFormat="1" ht="83.1" customHeight="1" x14ac:dyDescent="0.3">
      <c r="A59" s="12" t="s">
        <v>517</v>
      </c>
      <c r="B59" s="54" t="s">
        <v>278</v>
      </c>
      <c r="C59" s="87"/>
      <c r="D59" s="87"/>
      <c r="E59" s="87"/>
      <c r="F59" s="87"/>
      <c r="G59" s="73" t="s">
        <v>273</v>
      </c>
      <c r="H59" s="51"/>
      <c r="I59" s="52"/>
    </row>
    <row r="60" spans="1:9" s="1" customFormat="1" ht="60.8" customHeight="1" x14ac:dyDescent="0.3">
      <c r="A60" s="111" t="s">
        <v>164</v>
      </c>
      <c r="B60" s="111"/>
      <c r="C60" s="3" t="s">
        <v>638</v>
      </c>
      <c r="D60" s="3" t="s">
        <v>639</v>
      </c>
      <c r="E60" s="3" t="s">
        <v>110</v>
      </c>
      <c r="F60" s="3" t="s">
        <v>17</v>
      </c>
      <c r="G60" s="4" t="s">
        <v>18</v>
      </c>
      <c r="H60" s="3" t="s">
        <v>386</v>
      </c>
      <c r="I60" s="3" t="s">
        <v>412</v>
      </c>
    </row>
    <row r="61" spans="1:9" s="1" customFormat="1" ht="95.95" customHeight="1" x14ac:dyDescent="0.3">
      <c r="A61" s="12" t="s">
        <v>30</v>
      </c>
      <c r="B61" s="22" t="s">
        <v>548</v>
      </c>
      <c r="C61" s="112"/>
      <c r="D61" s="112"/>
      <c r="E61" s="112"/>
      <c r="F61" s="112"/>
      <c r="G61" s="73" t="s">
        <v>31</v>
      </c>
      <c r="H61" s="51"/>
      <c r="I61" s="52" t="s">
        <v>468</v>
      </c>
    </row>
    <row r="62" spans="1:9" ht="80.2" customHeight="1" x14ac:dyDescent="0.3">
      <c r="A62" s="12" t="s">
        <v>32</v>
      </c>
      <c r="B62" s="22" t="s">
        <v>549</v>
      </c>
      <c r="C62" s="112"/>
      <c r="D62" s="112"/>
      <c r="E62" s="112"/>
      <c r="F62" s="112"/>
      <c r="G62" s="73" t="s">
        <v>620</v>
      </c>
      <c r="H62" s="51"/>
      <c r="I62" s="52"/>
    </row>
    <row r="63" spans="1:9" ht="80.2" customHeight="1" x14ac:dyDescent="0.3">
      <c r="A63" s="12" t="s">
        <v>181</v>
      </c>
      <c r="B63" s="22" t="s">
        <v>550</v>
      </c>
      <c r="C63" s="112"/>
      <c r="D63" s="112"/>
      <c r="E63" s="112"/>
      <c r="F63" s="112"/>
      <c r="G63" s="74"/>
      <c r="H63" s="51"/>
      <c r="I63" s="52" t="s">
        <v>469</v>
      </c>
    </row>
    <row r="64" spans="1:9" ht="80.2" customHeight="1" x14ac:dyDescent="0.3">
      <c r="A64" s="12" t="s">
        <v>34</v>
      </c>
      <c r="B64" s="22" t="s">
        <v>530</v>
      </c>
      <c r="C64" s="25"/>
      <c r="D64" s="25"/>
      <c r="E64" s="25"/>
      <c r="F64" s="26"/>
      <c r="G64" s="74" t="str">
        <f>IF(C64="","",IF(C64="Yes","Please describe this program and how it is maintained.","Please describe how you ensure integrity in absence of a program that ensures storage security."))</f>
        <v/>
      </c>
      <c r="H64" s="51">
        <v>2</v>
      </c>
      <c r="I64" s="52" t="s">
        <v>470</v>
      </c>
    </row>
    <row r="65" spans="1:9" ht="80.2" customHeight="1" x14ac:dyDescent="0.3">
      <c r="A65" s="12" t="s">
        <v>281</v>
      </c>
      <c r="B65" s="22" t="s">
        <v>373</v>
      </c>
      <c r="C65" s="25"/>
      <c r="D65" s="25"/>
      <c r="E65" s="25"/>
      <c r="F65" s="26"/>
      <c r="G65" s="74" t="str">
        <f>IF(C65="","",IF(C65="Yes","Please describe this process.","Please describe how the integrity of software is verified prior to use."))</f>
        <v/>
      </c>
      <c r="H65" s="51"/>
      <c r="I65" s="52" t="s">
        <v>471</v>
      </c>
    </row>
    <row r="66" spans="1:9" ht="80.2" customHeight="1" x14ac:dyDescent="0.3">
      <c r="A66" s="12" t="s">
        <v>289</v>
      </c>
      <c r="B66" s="22" t="s">
        <v>374</v>
      </c>
      <c r="C66" s="25"/>
      <c r="D66" s="25"/>
      <c r="E66" s="25"/>
      <c r="F66" s="26"/>
      <c r="G66" s="74" t="str">
        <f>IF(C66="","",IF(C66="Yes","Please describe this process.",""))</f>
        <v/>
      </c>
      <c r="H66" s="51"/>
      <c r="I66" s="52" t="s">
        <v>472</v>
      </c>
    </row>
    <row r="67" spans="1:9" ht="80.2" customHeight="1" x14ac:dyDescent="0.3">
      <c r="A67" s="12" t="s">
        <v>290</v>
      </c>
      <c r="B67" s="22" t="s">
        <v>531</v>
      </c>
      <c r="C67" s="25"/>
      <c r="D67" s="25"/>
      <c r="E67" s="25"/>
      <c r="F67" s="26"/>
      <c r="G67" s="74" t="str">
        <f>IF(C67="","",IF(C67="Yes","Please describe this process.",""))</f>
        <v/>
      </c>
      <c r="H67" s="51">
        <v>59</v>
      </c>
      <c r="I67" s="52" t="s">
        <v>473</v>
      </c>
    </row>
    <row r="68" spans="1:9" ht="80.2" customHeight="1" x14ac:dyDescent="0.3">
      <c r="A68" s="12" t="s">
        <v>291</v>
      </c>
      <c r="B68" s="22" t="s">
        <v>553</v>
      </c>
      <c r="C68" s="25"/>
      <c r="D68" s="25"/>
      <c r="E68" s="25"/>
      <c r="F68" s="26"/>
      <c r="G68" s="74" t="str">
        <f>IF(C68="","",IF(C68="Yes","Please describe or provide a reference to/copy of this policy.",""))</f>
        <v/>
      </c>
      <c r="H68" s="51">
        <v>48</v>
      </c>
      <c r="I68" s="52" t="s">
        <v>474</v>
      </c>
    </row>
    <row r="69" spans="1:9" ht="80.2" customHeight="1" x14ac:dyDescent="0.3">
      <c r="A69" s="12" t="s">
        <v>292</v>
      </c>
      <c r="B69" s="22" t="s">
        <v>390</v>
      </c>
      <c r="C69" s="25"/>
      <c r="D69" s="25"/>
      <c r="E69" s="25"/>
      <c r="F69" s="26"/>
      <c r="G69" s="74"/>
      <c r="H69" s="51">
        <v>23</v>
      </c>
      <c r="I69" s="52" t="s">
        <v>475</v>
      </c>
    </row>
    <row r="70" spans="1:9" ht="80.2" customHeight="1" x14ac:dyDescent="0.3">
      <c r="A70" s="12" t="s">
        <v>293</v>
      </c>
      <c r="B70" s="22" t="s">
        <v>300</v>
      </c>
      <c r="C70" s="25"/>
      <c r="D70" s="25"/>
      <c r="E70" s="25"/>
      <c r="F70" s="26"/>
      <c r="G70" s="74" t="str">
        <f>IF(C70="","",IF(C70="Yes","Can this information be shared with the utility?",""))</f>
        <v/>
      </c>
      <c r="H70" s="51" t="s">
        <v>652</v>
      </c>
      <c r="I70" s="52" t="s">
        <v>478</v>
      </c>
    </row>
    <row r="71" spans="1:9" ht="80.2" customHeight="1" x14ac:dyDescent="0.3">
      <c r="A71" s="12" t="s">
        <v>298</v>
      </c>
      <c r="B71" s="22" t="s">
        <v>329</v>
      </c>
      <c r="C71" s="113"/>
      <c r="D71" s="114"/>
      <c r="E71" s="114"/>
      <c r="F71" s="26"/>
      <c r="G71" s="74" t="str">
        <f>IF(C71="","",IF(C71="Yes","Please descfibe this aspect of your program in adequate detail.",""))</f>
        <v/>
      </c>
      <c r="H71" s="51">
        <v>39</v>
      </c>
      <c r="I71" s="52" t="s">
        <v>476</v>
      </c>
    </row>
    <row r="72" spans="1:9" ht="80.2" customHeight="1" x14ac:dyDescent="0.3">
      <c r="A72" s="12" t="s">
        <v>299</v>
      </c>
      <c r="B72" s="22" t="s">
        <v>554</v>
      </c>
      <c r="C72" s="25"/>
      <c r="D72" s="25"/>
      <c r="E72" s="25"/>
      <c r="F72" s="26"/>
      <c r="G72" s="74" t="str">
        <f>IF(C72="","",IF(C72="Yes","Please descfibe this process, including timeframe for and method by which notification is provided.",""))</f>
        <v/>
      </c>
      <c r="H72" s="51"/>
      <c r="I72" s="52" t="s">
        <v>477</v>
      </c>
    </row>
    <row r="73" spans="1:9" ht="80.2" customHeight="1" x14ac:dyDescent="0.3">
      <c r="A73" s="12" t="s">
        <v>328</v>
      </c>
      <c r="B73" s="22" t="s">
        <v>356</v>
      </c>
      <c r="C73" s="25"/>
      <c r="D73" s="25"/>
      <c r="E73" s="25"/>
      <c r="F73" s="26"/>
      <c r="G73" s="74"/>
      <c r="H73" s="51"/>
      <c r="I73" s="52"/>
    </row>
    <row r="74" spans="1:9" s="1" customFormat="1" ht="80.2" customHeight="1" x14ac:dyDescent="0.3">
      <c r="A74" s="12" t="s">
        <v>335</v>
      </c>
      <c r="B74" s="24" t="s">
        <v>555</v>
      </c>
      <c r="C74" s="112"/>
      <c r="D74" s="112"/>
      <c r="E74" s="112"/>
      <c r="F74" s="112"/>
      <c r="G74" s="73" t="s">
        <v>33</v>
      </c>
      <c r="H74" s="51"/>
      <c r="I74" s="52"/>
    </row>
    <row r="75" spans="1:9" s="1" customFormat="1" ht="80.2" customHeight="1" x14ac:dyDescent="0.3">
      <c r="A75" s="12" t="s">
        <v>355</v>
      </c>
      <c r="B75" s="5" t="s">
        <v>525</v>
      </c>
      <c r="C75" s="112"/>
      <c r="D75" s="112"/>
      <c r="E75" s="112"/>
      <c r="F75" s="112"/>
      <c r="G75" s="73" t="s">
        <v>179</v>
      </c>
      <c r="H75" s="51"/>
      <c r="I75" s="52"/>
    </row>
    <row r="76" spans="1:9" ht="73.55" customHeight="1" x14ac:dyDescent="0.3">
      <c r="A76" s="111" t="s">
        <v>180</v>
      </c>
      <c r="B76" s="111"/>
      <c r="C76" s="3" t="s">
        <v>638</v>
      </c>
      <c r="D76" s="3" t="s">
        <v>639</v>
      </c>
      <c r="E76" s="3" t="s">
        <v>110</v>
      </c>
      <c r="F76" s="3" t="s">
        <v>17</v>
      </c>
      <c r="G76" s="4" t="s">
        <v>18</v>
      </c>
      <c r="H76" s="3" t="s">
        <v>386</v>
      </c>
      <c r="I76" s="3" t="s">
        <v>412</v>
      </c>
    </row>
    <row r="77" spans="1:9" ht="73.55" customHeight="1" x14ac:dyDescent="0.3">
      <c r="A77" s="12" t="s">
        <v>305</v>
      </c>
      <c r="B77" s="27" t="s">
        <v>556</v>
      </c>
      <c r="C77" s="113"/>
      <c r="D77" s="114"/>
      <c r="E77" s="114"/>
      <c r="F77" s="20"/>
      <c r="G77" s="74" t="str">
        <f>IF(C77="","",IF(C77="Yes","Summarize background check practices including level (e.g. seven-year background checks) and list of any exempted employees or contactors due to restrictions by country of employment.","State plans to implement background checks into your hiring process."))</f>
        <v/>
      </c>
      <c r="H77" s="51" t="s">
        <v>523</v>
      </c>
      <c r="I77" s="52" t="s">
        <v>524</v>
      </c>
    </row>
    <row r="78" spans="1:9" ht="73.55" customHeight="1" x14ac:dyDescent="0.3">
      <c r="A78" s="29" t="s">
        <v>653</v>
      </c>
      <c r="B78" s="27" t="s">
        <v>654</v>
      </c>
      <c r="C78" s="113"/>
      <c r="D78" s="114"/>
      <c r="E78" s="114"/>
      <c r="F78" s="20"/>
      <c r="G78" s="27" t="str">
        <f>IF(C78="","",IF(C78="Yes","Provide frequency that supplier's process requires and list of any exempted employees or contactors due to the personnel's area of responsibility or restrictions by country of employment.",""))</f>
        <v/>
      </c>
      <c r="H78" s="51" t="s">
        <v>523</v>
      </c>
      <c r="I78" s="52" t="s">
        <v>524</v>
      </c>
    </row>
    <row r="79" spans="1:9" ht="73.55" customHeight="1" x14ac:dyDescent="0.3">
      <c r="A79" s="12" t="s">
        <v>306</v>
      </c>
      <c r="B79" s="27" t="s">
        <v>557</v>
      </c>
      <c r="C79" s="113"/>
      <c r="D79" s="114"/>
      <c r="E79" s="114"/>
      <c r="F79" s="20"/>
      <c r="G79" s="74"/>
      <c r="H79" s="51">
        <v>3</v>
      </c>
      <c r="I79" s="52" t="s">
        <v>482</v>
      </c>
    </row>
    <row r="80" spans="1:9" ht="77.95" customHeight="1" x14ac:dyDescent="0.3">
      <c r="A80" s="12" t="s">
        <v>307</v>
      </c>
      <c r="B80" s="27" t="s">
        <v>520</v>
      </c>
      <c r="C80" s="117"/>
      <c r="D80" s="118"/>
      <c r="E80" s="118"/>
      <c r="F80" s="119"/>
      <c r="G80" s="74"/>
      <c r="H80" s="52" t="s">
        <v>491</v>
      </c>
      <c r="I80" s="52" t="s">
        <v>483</v>
      </c>
    </row>
    <row r="81" spans="1:9" ht="88.5" customHeight="1" x14ac:dyDescent="0.3">
      <c r="A81" s="12" t="s">
        <v>308</v>
      </c>
      <c r="B81" s="27" t="s">
        <v>384</v>
      </c>
      <c r="C81" s="17"/>
      <c r="D81" s="17"/>
      <c r="E81" s="17"/>
      <c r="F81" s="28"/>
      <c r="G81" s="74"/>
      <c r="H81" s="51">
        <v>11</v>
      </c>
      <c r="I81" s="52" t="s">
        <v>484</v>
      </c>
    </row>
    <row r="82" spans="1:9" ht="88.5" customHeight="1" x14ac:dyDescent="0.3">
      <c r="A82" s="12" t="s">
        <v>309</v>
      </c>
      <c r="B82" s="27" t="s">
        <v>510</v>
      </c>
      <c r="C82" s="17"/>
      <c r="D82" s="17"/>
      <c r="E82" s="17"/>
      <c r="F82" s="28"/>
      <c r="G82" s="74"/>
      <c r="H82" s="51">
        <v>12</v>
      </c>
      <c r="I82" s="52" t="s">
        <v>489</v>
      </c>
    </row>
    <row r="83" spans="1:9" ht="88.5" customHeight="1" x14ac:dyDescent="0.3">
      <c r="A83" s="12" t="s">
        <v>304</v>
      </c>
      <c r="B83" s="27" t="s">
        <v>383</v>
      </c>
      <c r="C83" s="17"/>
      <c r="D83" s="17"/>
      <c r="E83" s="17"/>
      <c r="F83" s="28"/>
      <c r="G83" s="74"/>
      <c r="H83" s="51">
        <v>10</v>
      </c>
      <c r="I83" s="52" t="s">
        <v>485</v>
      </c>
    </row>
    <row r="84" spans="1:9" ht="88.5" customHeight="1" x14ac:dyDescent="0.3">
      <c r="A84" s="12" t="s">
        <v>303</v>
      </c>
      <c r="B84" s="27" t="s">
        <v>486</v>
      </c>
      <c r="C84" s="17"/>
      <c r="D84" s="17"/>
      <c r="E84" s="17"/>
      <c r="F84" s="28"/>
      <c r="G84" s="74"/>
      <c r="H84" s="51">
        <v>47</v>
      </c>
      <c r="I84" s="52" t="s">
        <v>487</v>
      </c>
    </row>
    <row r="85" spans="1:9" ht="73.55" customHeight="1" x14ac:dyDescent="0.3">
      <c r="A85" s="12" t="s">
        <v>394</v>
      </c>
      <c r="B85" s="27" t="s">
        <v>375</v>
      </c>
      <c r="C85" s="115"/>
      <c r="D85" s="116"/>
      <c r="E85" s="116"/>
      <c r="F85" s="28"/>
      <c r="G85" s="74" t="str">
        <f>IF(C85="","",IF(C85="Yes","Summarize your securing coding training and state how frequently employees are required to undergo this training.","State plans to make secure coding training mandatory for all developers."))</f>
        <v/>
      </c>
      <c r="H85" s="51"/>
      <c r="I85" s="52" t="s">
        <v>480</v>
      </c>
    </row>
    <row r="86" spans="1:9" ht="117" customHeight="1" x14ac:dyDescent="0.3">
      <c r="A86" s="12" t="s">
        <v>395</v>
      </c>
      <c r="B86" s="27" t="s">
        <v>558</v>
      </c>
      <c r="C86" s="115"/>
      <c r="D86" s="116"/>
      <c r="E86" s="116"/>
      <c r="F86" s="28"/>
      <c r="G86" s="74"/>
      <c r="H86" s="51"/>
      <c r="I86" s="52" t="s">
        <v>481</v>
      </c>
    </row>
    <row r="87" spans="1:9" ht="73.55" customHeight="1" x14ac:dyDescent="0.3">
      <c r="A87" s="12" t="s">
        <v>396</v>
      </c>
      <c r="B87" s="27" t="s">
        <v>559</v>
      </c>
      <c r="C87" s="117"/>
      <c r="D87" s="118"/>
      <c r="E87" s="118"/>
      <c r="F87" s="119"/>
      <c r="G87" s="74"/>
      <c r="H87" s="51"/>
      <c r="I87" s="52"/>
    </row>
    <row r="88" spans="1:9" ht="73.55" customHeight="1" x14ac:dyDescent="0.3">
      <c r="A88" s="12" t="s">
        <v>518</v>
      </c>
      <c r="B88" s="27" t="s">
        <v>98</v>
      </c>
      <c r="C88" s="113"/>
      <c r="D88" s="114"/>
      <c r="E88" s="114"/>
      <c r="F88" s="20"/>
      <c r="G88" s="74" t="str">
        <f>IF(C88="","",IF(C88="Yes","Summarize the required agreements and reviewed policies.","Summarize why new employees are not required to accept agreements or review policy, as well as any practices that are conducted with new employees."))</f>
        <v/>
      </c>
      <c r="H88" s="51"/>
      <c r="I88" s="52"/>
    </row>
    <row r="89" spans="1:9" ht="73.55" customHeight="1" x14ac:dyDescent="0.3">
      <c r="A89" s="12" t="s">
        <v>519</v>
      </c>
      <c r="B89" s="27" t="s">
        <v>144</v>
      </c>
      <c r="C89" s="113"/>
      <c r="D89" s="114"/>
      <c r="E89" s="114"/>
      <c r="F89" s="20"/>
      <c r="G89" s="74" t="str">
        <f>IF(C89="","",IF(C89="Yes","Summarize your security awareness and privacy training content and state how frequently employees are required to undergo security awareness training.","State plans to make security awareness training mandatory for all employees."))</f>
        <v/>
      </c>
      <c r="H89" s="51"/>
      <c r="I89" s="52"/>
    </row>
    <row r="90" spans="1:9" ht="54.85" x14ac:dyDescent="0.3">
      <c r="A90" s="111" t="s">
        <v>162</v>
      </c>
      <c r="B90" s="111"/>
      <c r="C90" s="3" t="s">
        <v>638</v>
      </c>
      <c r="D90" s="3" t="s">
        <v>639</v>
      </c>
      <c r="E90" s="3" t="s">
        <v>110</v>
      </c>
      <c r="F90" s="3" t="s">
        <v>17</v>
      </c>
      <c r="G90" s="4" t="s">
        <v>18</v>
      </c>
      <c r="H90" s="3" t="s">
        <v>386</v>
      </c>
      <c r="I90" s="3" t="s">
        <v>412</v>
      </c>
    </row>
    <row r="91" spans="1:9" s="1" customFormat="1" ht="47.1" customHeight="1" x14ac:dyDescent="0.3">
      <c r="A91" s="12" t="s">
        <v>183</v>
      </c>
      <c r="B91" s="5" t="s">
        <v>145</v>
      </c>
      <c r="C91" s="17"/>
      <c r="D91" s="17"/>
      <c r="E91" s="17"/>
      <c r="F91" s="18"/>
      <c r="G91" s="74"/>
      <c r="H91" s="51"/>
      <c r="I91" s="52"/>
    </row>
    <row r="92" spans="1:9" s="1" customFormat="1" ht="47.1" customHeight="1" x14ac:dyDescent="0.3">
      <c r="A92" s="12" t="s">
        <v>184</v>
      </c>
      <c r="B92" s="5" t="s">
        <v>560</v>
      </c>
      <c r="C92" s="17"/>
      <c r="D92" s="17"/>
      <c r="E92" s="17"/>
      <c r="F92" s="37"/>
      <c r="G92" s="74" t="str">
        <f>IF(C92="","",IF(C92="Yes","Please provide a high-level description of the major components of this program.","Describe plans to implement such an identity and access management program."))</f>
        <v/>
      </c>
      <c r="H92" s="51">
        <v>1</v>
      </c>
      <c r="I92" s="52" t="s">
        <v>449</v>
      </c>
    </row>
    <row r="93" spans="1:9" s="1" customFormat="1" ht="103.6" customHeight="1" x14ac:dyDescent="0.3">
      <c r="A93" s="12" t="s">
        <v>185</v>
      </c>
      <c r="B93" s="5" t="s">
        <v>561</v>
      </c>
      <c r="C93" s="17"/>
      <c r="D93" s="17"/>
      <c r="E93" s="17"/>
      <c r="F93" s="20"/>
      <c r="G93" s="74" t="str">
        <f>IF(C93="","",IF(C93="Yes","List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93" s="51"/>
      <c r="I93" s="52"/>
    </row>
    <row r="94" spans="1:9" s="1" customFormat="1" ht="84.05" customHeight="1" x14ac:dyDescent="0.3">
      <c r="A94" s="12" t="s">
        <v>186</v>
      </c>
      <c r="B94" s="27" t="s">
        <v>283</v>
      </c>
      <c r="C94" s="30"/>
      <c r="D94" s="30"/>
      <c r="E94" s="30"/>
      <c r="F94" s="31"/>
      <c r="G94" s="73" t="str">
        <f>IF(C94="","",IF(C94="Yes","Please describe the approval process.","Please describe how access is granted and managed."))</f>
        <v/>
      </c>
      <c r="H94" s="51">
        <v>5</v>
      </c>
      <c r="I94" s="52" t="s">
        <v>450</v>
      </c>
    </row>
    <row r="95" spans="1:9" s="1" customFormat="1" ht="84.05" customHeight="1" x14ac:dyDescent="0.3">
      <c r="A95" s="12" t="s">
        <v>187</v>
      </c>
      <c r="B95" s="27" t="s">
        <v>382</v>
      </c>
      <c r="C95" s="30"/>
      <c r="D95" s="30"/>
      <c r="E95" s="30"/>
      <c r="F95" s="31"/>
      <c r="G95" s="73"/>
      <c r="H95" s="52">
        <v>6</v>
      </c>
      <c r="I95" s="52" t="s">
        <v>451</v>
      </c>
    </row>
    <row r="96" spans="1:9" s="1" customFormat="1" ht="84.05" customHeight="1" x14ac:dyDescent="0.3">
      <c r="A96" s="12" t="s">
        <v>397</v>
      </c>
      <c r="B96" s="27" t="s">
        <v>521</v>
      </c>
      <c r="C96" s="30"/>
      <c r="D96" s="30"/>
      <c r="E96" s="30"/>
      <c r="F96" s="31"/>
      <c r="G96" s="73"/>
      <c r="H96" s="52">
        <v>8</v>
      </c>
      <c r="I96" s="52" t="s">
        <v>488</v>
      </c>
    </row>
    <row r="97" spans="1:9" s="1" customFormat="1" ht="84.05" customHeight="1" x14ac:dyDescent="0.3">
      <c r="A97" s="12" t="s">
        <v>188</v>
      </c>
      <c r="B97" s="27" t="s">
        <v>388</v>
      </c>
      <c r="C97" s="30"/>
      <c r="D97" s="30"/>
      <c r="E97" s="30"/>
      <c r="F97" s="31"/>
      <c r="G97" s="73" t="str">
        <f>IF(C97="","",IF(C97="Yes","","If not reviewed annually, please provide frequency. If not reviewed, please state plans to implement periodic access reviews."))</f>
        <v/>
      </c>
      <c r="H97" s="52">
        <v>7</v>
      </c>
      <c r="I97" s="52" t="s">
        <v>452</v>
      </c>
    </row>
    <row r="98" spans="1:9" s="1" customFormat="1" ht="84.05" customHeight="1" x14ac:dyDescent="0.3">
      <c r="A98" s="12" t="s">
        <v>189</v>
      </c>
      <c r="B98" s="27" t="s">
        <v>381</v>
      </c>
      <c r="C98" s="30"/>
      <c r="D98" s="30"/>
      <c r="E98" s="30"/>
      <c r="F98" s="31"/>
      <c r="G98" s="73" t="str">
        <f>IF(C98="","",IF(C98="Yes","","If not reviewed annually, please provide frequency. If not reviewed, please state plans to implement periodic access reviews."))</f>
        <v/>
      </c>
      <c r="H98" s="51">
        <v>9</v>
      </c>
      <c r="I98" s="52" t="s">
        <v>453</v>
      </c>
    </row>
    <row r="99" spans="1:9" s="1" customFormat="1" ht="84.05" customHeight="1" x14ac:dyDescent="0.3">
      <c r="A99" s="12" t="s">
        <v>190</v>
      </c>
      <c r="B99" s="27" t="s">
        <v>112</v>
      </c>
      <c r="C99" s="32"/>
      <c r="D99" s="32"/>
      <c r="E99" s="32"/>
      <c r="F99" s="33"/>
      <c r="G99" s="73" t="str">
        <f>IF(C99="","",IF(C99="Yes","Submit documentation and/or web resources as to how remote access is provided, including security controls on the access (i.e., is multifactor authentication used?).","Provide details that prevent this capability."))</f>
        <v/>
      </c>
      <c r="H99" s="51"/>
      <c r="I99" s="52"/>
    </row>
    <row r="100" spans="1:9" s="1" customFormat="1" ht="84.05" customHeight="1" x14ac:dyDescent="0.3">
      <c r="A100" s="12" t="s">
        <v>191</v>
      </c>
      <c r="B100" s="27" t="s">
        <v>562</v>
      </c>
      <c r="C100" s="32"/>
      <c r="D100" s="32"/>
      <c r="E100" s="32"/>
      <c r="F100" s="33"/>
      <c r="G100" s="73"/>
      <c r="H100" s="51">
        <v>14</v>
      </c>
      <c r="I100" s="52" t="s">
        <v>454</v>
      </c>
    </row>
    <row r="101" spans="1:9" s="1" customFormat="1" ht="84.05" customHeight="1" x14ac:dyDescent="0.3">
      <c r="A101" s="12" t="s">
        <v>192</v>
      </c>
      <c r="B101" s="27" t="s">
        <v>376</v>
      </c>
      <c r="C101" s="30"/>
      <c r="D101" s="30"/>
      <c r="E101" s="30"/>
      <c r="F101" s="31"/>
      <c r="G101" s="74" t="str">
        <f>IF(C101="","",IF(C101="Yes","Please describe the reason for remote access as well as the process for achieving it.","Please describe in sufficient detail."))</f>
        <v/>
      </c>
      <c r="H101" s="51">
        <v>15</v>
      </c>
      <c r="I101" s="52" t="s">
        <v>455</v>
      </c>
    </row>
    <row r="102" spans="1:9" s="1" customFormat="1" ht="84.05" customHeight="1" x14ac:dyDescent="0.3">
      <c r="A102" s="12" t="s">
        <v>193</v>
      </c>
      <c r="B102" s="27" t="s">
        <v>563</v>
      </c>
      <c r="C102" s="30"/>
      <c r="D102" s="30"/>
      <c r="E102" s="30"/>
      <c r="F102" s="31"/>
      <c r="G102" s="74" t="str">
        <f>IF(C102="","",IF(C102="Yes","Please describe how remote access sessions are ended.",""))</f>
        <v/>
      </c>
      <c r="H102" s="51">
        <v>17</v>
      </c>
      <c r="I102" s="52" t="s">
        <v>456</v>
      </c>
    </row>
    <row r="103" spans="1:9" s="1" customFormat="1" ht="84.05" customHeight="1" x14ac:dyDescent="0.3">
      <c r="A103" s="12" t="s">
        <v>194</v>
      </c>
      <c r="B103" s="27" t="s">
        <v>314</v>
      </c>
      <c r="C103" s="30"/>
      <c r="D103" s="30"/>
      <c r="E103" s="30"/>
      <c r="F103" s="31"/>
      <c r="G103" s="74" t="str">
        <f>IF(C103="","",IF(C103="Yes","Please describe how this is accomplished.",""))</f>
        <v/>
      </c>
      <c r="H103" s="51">
        <v>19</v>
      </c>
      <c r="I103" s="52" t="s">
        <v>457</v>
      </c>
    </row>
    <row r="104" spans="1:9" s="1" customFormat="1" ht="84.05" customHeight="1" x14ac:dyDescent="0.3">
      <c r="A104" s="12" t="s">
        <v>195</v>
      </c>
      <c r="B104" s="27" t="s">
        <v>353</v>
      </c>
      <c r="C104" s="30"/>
      <c r="D104" s="30"/>
      <c r="E104" s="30"/>
      <c r="F104" s="31"/>
      <c r="G104" s="74" t="str">
        <f>IF(C104="","",IF(C104="Yes","Please describe the access required to your customer's networks, and these controls.",""))</f>
        <v/>
      </c>
      <c r="H104" s="51">
        <v>16</v>
      </c>
      <c r="I104" s="52" t="s">
        <v>458</v>
      </c>
    </row>
    <row r="105" spans="1:9" ht="48.05" customHeight="1" x14ac:dyDescent="0.3">
      <c r="A105" s="12" t="s">
        <v>196</v>
      </c>
      <c r="B105" s="27" t="s">
        <v>160</v>
      </c>
      <c r="C105" s="32"/>
      <c r="D105" s="32"/>
      <c r="E105" s="32"/>
      <c r="F105" s="28"/>
      <c r="G105" s="74" t="str">
        <f>IF(C105="","",IF(C105="Yes","Describe how aging requirements are implemented, including expiration timeframes.","Describe plans to support password/passphrase aging requirements."))</f>
        <v/>
      </c>
      <c r="H105" s="51"/>
      <c r="I105" s="52"/>
    </row>
    <row r="106" spans="1:9" s="1" customFormat="1" ht="48.05" customHeight="1" x14ac:dyDescent="0.3">
      <c r="A106" s="12" t="s">
        <v>197</v>
      </c>
      <c r="B106" s="27" t="s">
        <v>156</v>
      </c>
      <c r="C106" s="32"/>
      <c r="D106" s="32"/>
      <c r="E106" s="32"/>
      <c r="F106" s="28"/>
      <c r="G106" s="74" t="str">
        <f>IF(C106="","",IF(C106="Yes","Describe your password/passphrase complexity requirements.","Describe plans to support password/passphrase complexity requirements."))</f>
        <v/>
      </c>
      <c r="H106" s="51"/>
      <c r="I106" s="52"/>
    </row>
    <row r="107" spans="1:9" s="1" customFormat="1" ht="65.099999999999994" customHeight="1" x14ac:dyDescent="0.3">
      <c r="A107" s="12" t="s">
        <v>198</v>
      </c>
      <c r="B107" s="27" t="s">
        <v>115</v>
      </c>
      <c r="C107" s="32"/>
      <c r="D107" s="32"/>
      <c r="E107" s="32"/>
      <c r="F107" s="34"/>
      <c r="G107" s="74" t="str">
        <f>IF(C107="","",IF(C107="Yes","Describe your documented password/passphrase reset procedures that are currently implemented in the system and/or customer support.","Describe your plans to document system password/passphrase reset procedures."))</f>
        <v/>
      </c>
      <c r="H107" s="51"/>
      <c r="I107" s="52"/>
    </row>
    <row r="108" spans="1:9" s="1" customFormat="1" ht="48.05" customHeight="1" x14ac:dyDescent="0.3">
      <c r="A108" s="12" t="s">
        <v>199</v>
      </c>
      <c r="B108" s="27" t="s">
        <v>116</v>
      </c>
      <c r="C108" s="32"/>
      <c r="D108" s="32"/>
      <c r="E108" s="32"/>
      <c r="F108" s="28"/>
      <c r="G108" s="74" t="str">
        <f>IF(C108="","",IF(C108="Yes","Provide a detailed description of passwords/passphrases hard-coded into your systems or products.",""))</f>
        <v/>
      </c>
      <c r="H108" s="51"/>
      <c r="I108" s="52"/>
    </row>
    <row r="109" spans="1:9" s="1" customFormat="1" ht="31.15" customHeight="1" x14ac:dyDescent="0.3">
      <c r="A109" s="12" t="s">
        <v>200</v>
      </c>
      <c r="B109" s="27" t="s">
        <v>117</v>
      </c>
      <c r="C109" s="32"/>
      <c r="D109" s="32"/>
      <c r="E109" s="32"/>
      <c r="F109" s="28"/>
      <c r="G109" s="74" t="str">
        <f>IF(C109="","",IF(C109="Yes","Provide a detailed description stating why user account passwords/passphrases are visible by administrators.",""))</f>
        <v/>
      </c>
      <c r="H109" s="51"/>
      <c r="I109" s="52"/>
    </row>
    <row r="110" spans="1:9" s="1" customFormat="1" ht="59.95" customHeight="1" x14ac:dyDescent="0.3">
      <c r="A110" s="12" t="s">
        <v>282</v>
      </c>
      <c r="B110" s="27" t="s">
        <v>118</v>
      </c>
      <c r="C110" s="32"/>
      <c r="D110" s="32"/>
      <c r="E110" s="32"/>
      <c r="F110" s="28"/>
      <c r="G110" s="74" t="str">
        <f>IF(C110="","",IF(C110="Yes","Describe or provide a reference to the algorithm/strategy that is used to encrypt stored passwords/passphrases.","Provide a detailed description stating why user account passwords/passphrases are not encrypted in storage."))</f>
        <v/>
      </c>
      <c r="H110" s="51"/>
      <c r="I110" s="52"/>
    </row>
    <row r="111" spans="1:9" s="1" customFormat="1" ht="103.6" customHeight="1" x14ac:dyDescent="0.3">
      <c r="A111" s="12" t="s">
        <v>284</v>
      </c>
      <c r="B111" s="27" t="s">
        <v>532</v>
      </c>
      <c r="C111" s="28"/>
      <c r="D111" s="28"/>
      <c r="E111" s="28"/>
      <c r="F111" s="28"/>
      <c r="G111" s="74" t="s">
        <v>158</v>
      </c>
      <c r="H111" s="51"/>
      <c r="I111" s="52"/>
    </row>
    <row r="112" spans="1:9" s="1" customFormat="1" ht="103.6" customHeight="1" x14ac:dyDescent="0.3">
      <c r="A112" s="12" t="s">
        <v>286</v>
      </c>
      <c r="B112" s="27" t="s">
        <v>533</v>
      </c>
      <c r="C112" s="28"/>
      <c r="D112" s="28"/>
      <c r="E112" s="28"/>
      <c r="F112" s="28"/>
      <c r="G112" s="74"/>
      <c r="H112" s="51"/>
      <c r="I112" s="52"/>
    </row>
    <row r="113" spans="1:9" s="1" customFormat="1" ht="54" customHeight="1" x14ac:dyDescent="0.3">
      <c r="A113" s="12" t="s">
        <v>287</v>
      </c>
      <c r="B113" s="27" t="s">
        <v>534</v>
      </c>
      <c r="C113" s="32"/>
      <c r="D113" s="32"/>
      <c r="E113" s="32"/>
      <c r="F113" s="28"/>
      <c r="G113" s="74" t="str">
        <f>IF(C113="","",IF(C113="Yes","Describe all authentication services supported by the system.","Describe any plans to support external authentication services in place of local authentication."))</f>
        <v/>
      </c>
      <c r="H113" s="51"/>
      <c r="I113" s="52"/>
    </row>
    <row r="114" spans="1:9" s="1" customFormat="1" ht="48.05" customHeight="1" x14ac:dyDescent="0.3">
      <c r="A114" s="12" t="s">
        <v>288</v>
      </c>
      <c r="B114" s="27" t="s">
        <v>279</v>
      </c>
      <c r="C114" s="32"/>
      <c r="D114" s="32"/>
      <c r="E114" s="32"/>
      <c r="F114" s="28"/>
      <c r="G114" s="74" t="str">
        <f>IF(C114="","",IF(C114="Yes","Provide a description of logging capabilities. Ensure that all elements of IAM-24 are evaluated for your response.","Describe any plans to enable audit logs for these data elements."))</f>
        <v/>
      </c>
      <c r="H114" s="51"/>
      <c r="I114" s="52"/>
    </row>
    <row r="115" spans="1:9" s="1" customFormat="1" ht="95.95" customHeight="1" x14ac:dyDescent="0.3">
      <c r="A115" s="12" t="s">
        <v>311</v>
      </c>
      <c r="B115" s="27" t="s">
        <v>564</v>
      </c>
      <c r="C115" s="128"/>
      <c r="D115" s="89"/>
      <c r="E115" s="89"/>
      <c r="F115" s="90"/>
      <c r="G115" s="74" t="s">
        <v>641</v>
      </c>
      <c r="H115" s="51"/>
      <c r="I115" s="52"/>
    </row>
    <row r="116" spans="1:9" s="1" customFormat="1" ht="84.05" customHeight="1" x14ac:dyDescent="0.3">
      <c r="A116" s="12" t="s">
        <v>312</v>
      </c>
      <c r="B116" s="27" t="s">
        <v>565</v>
      </c>
      <c r="C116" s="32"/>
      <c r="D116" s="32"/>
      <c r="E116" s="32"/>
      <c r="F116" s="33"/>
      <c r="G116" s="73" t="str">
        <f>IF(C116="","",IF(C116="Yes","Describe how this is accomplished.","Describe any plans to implement role-based access controls for end-users."))</f>
        <v/>
      </c>
      <c r="H116" s="51"/>
      <c r="I116" s="52"/>
    </row>
    <row r="117" spans="1:9" s="1" customFormat="1" ht="84.05" customHeight="1" x14ac:dyDescent="0.3">
      <c r="A117" s="12" t="s">
        <v>313</v>
      </c>
      <c r="B117" s="27" t="s">
        <v>566</v>
      </c>
      <c r="C117" s="32"/>
      <c r="D117" s="32"/>
      <c r="E117" s="32"/>
      <c r="F117" s="33"/>
      <c r="G117" s="73" t="str">
        <f>IF(C117="","",IF(C117="Yes","Describe how this is accomplished.","Describe any plans to implement role-based access controls for administrators, as well as how access/what levels of access are currently granted to administrators."))</f>
        <v/>
      </c>
      <c r="H117" s="51"/>
      <c r="I117" s="52"/>
    </row>
    <row r="118" spans="1:9" s="1" customFormat="1" ht="84.05" customHeight="1" x14ac:dyDescent="0.3">
      <c r="A118" s="12" t="s">
        <v>352</v>
      </c>
      <c r="B118" s="27" t="s">
        <v>568</v>
      </c>
      <c r="C118" s="33"/>
      <c r="D118" s="33"/>
      <c r="E118" s="33"/>
      <c r="F118" s="33"/>
      <c r="G118" s="73" t="s">
        <v>285</v>
      </c>
      <c r="H118" s="51"/>
      <c r="I118" s="52"/>
    </row>
    <row r="119" spans="1:9" s="1" customFormat="1" ht="84.05" customHeight="1" x14ac:dyDescent="0.3">
      <c r="A119" s="12" t="s">
        <v>398</v>
      </c>
      <c r="B119" s="27" t="s">
        <v>269</v>
      </c>
      <c r="C119" s="32"/>
      <c r="D119" s="32"/>
      <c r="E119" s="32"/>
      <c r="F119" s="33"/>
      <c r="G119" s="76" t="str">
        <f>IF(C119="","",IF(C119="Yes","Describe or attach your policy or process.","Describe how the provisioning and administration of administrative accounts is currently carried out, as well as any plans to implement such a policy or process."))</f>
        <v/>
      </c>
      <c r="H119" s="51"/>
      <c r="I119" s="52"/>
    </row>
    <row r="120" spans="1:9" s="1" customFormat="1" ht="84.05" customHeight="1" x14ac:dyDescent="0.3">
      <c r="A120" s="12" t="s">
        <v>522</v>
      </c>
      <c r="B120" s="27" t="s">
        <v>567</v>
      </c>
      <c r="C120" s="32"/>
      <c r="D120" s="32"/>
      <c r="E120" s="32"/>
      <c r="F120" s="33"/>
      <c r="G120" s="74" t="str">
        <f>IF(C120="","",IF(C120="Yes","Provide a brief summary and the review interval.","Describe plans to implement privileged account access-list reviews to your environment."))</f>
        <v/>
      </c>
      <c r="H120" s="51"/>
      <c r="I120" s="52"/>
    </row>
    <row r="121" spans="1:9" s="1" customFormat="1" ht="61.35" customHeight="1" x14ac:dyDescent="0.3">
      <c r="A121" s="111" t="s">
        <v>165</v>
      </c>
      <c r="B121" s="111"/>
      <c r="C121" s="3" t="s">
        <v>638</v>
      </c>
      <c r="D121" s="3" t="s">
        <v>639</v>
      </c>
      <c r="E121" s="3" t="s">
        <v>110</v>
      </c>
      <c r="F121" s="3" t="s">
        <v>17</v>
      </c>
      <c r="G121" s="4" t="s">
        <v>18</v>
      </c>
      <c r="H121" s="3" t="s">
        <v>386</v>
      </c>
      <c r="I121" s="3" t="s">
        <v>412</v>
      </c>
    </row>
    <row r="122" spans="1:9" s="1" customFormat="1" ht="98.35" customHeight="1" x14ac:dyDescent="0.3">
      <c r="A122" s="29" t="s">
        <v>201</v>
      </c>
      <c r="B122" s="27" t="s">
        <v>569</v>
      </c>
      <c r="C122" s="32"/>
      <c r="D122" s="32"/>
      <c r="E122" s="32"/>
      <c r="F122" s="28"/>
      <c r="G122" s="74" t="str">
        <f>IF(C122="","",IF(C122="Yes","Provide a reference to your BCP and supporting documentation or submit it along with this fully-populated questionnaire. Please also descibe how you ensure data availability in the event of the loss of systems or facilities.","Briefly summarize your response."))</f>
        <v/>
      </c>
      <c r="H122" s="51">
        <v>21</v>
      </c>
      <c r="I122" s="52" t="s">
        <v>411</v>
      </c>
    </row>
    <row r="123" spans="1:9" s="1" customFormat="1" ht="48.05" customHeight="1" x14ac:dyDescent="0.3">
      <c r="A123" s="29" t="s">
        <v>202</v>
      </c>
      <c r="B123" s="27" t="s">
        <v>35</v>
      </c>
      <c r="C123" s="32"/>
      <c r="D123" s="32"/>
      <c r="E123" s="32"/>
      <c r="F123" s="28"/>
      <c r="G123" s="74" t="str">
        <f>IF(C123="","",IF(C123="Yes","Describe your BCP component review strategy.","Describe any plans to annually review and update (as needed) your BCP."))</f>
        <v/>
      </c>
      <c r="H123" s="51"/>
      <c r="I123" s="52" t="s">
        <v>415</v>
      </c>
    </row>
    <row r="124" spans="1:9" s="1" customFormat="1" ht="48.05" customHeight="1" x14ac:dyDescent="0.3">
      <c r="A124" s="29" t="s">
        <v>203</v>
      </c>
      <c r="B124" s="27" t="s">
        <v>36</v>
      </c>
      <c r="C124" s="32"/>
      <c r="D124" s="32"/>
      <c r="E124" s="32"/>
      <c r="F124" s="28"/>
      <c r="G124" s="74" t="str">
        <f>IF(C124="","",IF(C124="Yes","State the date of your last BCP test.","Describe your strategy to implement annual BCP testing."))</f>
        <v/>
      </c>
      <c r="H124" s="51"/>
      <c r="I124" s="52"/>
    </row>
    <row r="125" spans="1:9" s="1" customFormat="1" ht="64.400000000000006" customHeight="1" x14ac:dyDescent="0.3">
      <c r="A125" s="29" t="s">
        <v>204</v>
      </c>
      <c r="B125" s="27" t="s">
        <v>111</v>
      </c>
      <c r="C125" s="32"/>
      <c r="D125" s="32"/>
      <c r="E125" s="32"/>
      <c r="F125" s="28"/>
      <c r="G125" s="73" t="str">
        <f>IF(C125="","",IF(C125="Yes","Provide your data privacy document. Indicate if the process ensures collection, storage, use, access, sharing, transport, retention and deletion of data in accordance with applicable law, privacy policy, privacy notices, and industry standard practices.","Describe plans to implement a data privacy process."))</f>
        <v/>
      </c>
      <c r="H125" s="51"/>
      <c r="I125" s="52" t="s">
        <v>416</v>
      </c>
    </row>
    <row r="126" spans="1:9" s="1" customFormat="1" ht="64.400000000000006" customHeight="1" x14ac:dyDescent="0.3">
      <c r="A126" s="29" t="s">
        <v>205</v>
      </c>
      <c r="B126" s="27" t="s">
        <v>570</v>
      </c>
      <c r="C126" s="32"/>
      <c r="D126" s="32"/>
      <c r="E126" s="32"/>
      <c r="F126" s="28"/>
      <c r="G126" s="73" t="str">
        <f>IF(C126="","",IF(C126="Yes","Provide a reference to the requested documents, or provide them when submitting this fully-populated questionnaire.","State any plans to provide system and/or application architecture diagrams."))</f>
        <v/>
      </c>
      <c r="H126" s="51"/>
      <c r="I126" s="52" t="s">
        <v>417</v>
      </c>
    </row>
    <row r="127" spans="1:9" s="1" customFormat="1" ht="64.400000000000006" customHeight="1" x14ac:dyDescent="0.3">
      <c r="A127" s="29" t="s">
        <v>206</v>
      </c>
      <c r="B127" s="27" t="s">
        <v>571</v>
      </c>
      <c r="C127" s="32"/>
      <c r="D127" s="32"/>
      <c r="E127" s="32"/>
      <c r="F127" s="28"/>
      <c r="G127" s="77" t="str">
        <f>IF(C127="","",IF(C127="Yes","Provide details of these procedures (link or attached).","Provide a detailed summary for this response, including your current end-of-life procedures."))</f>
        <v/>
      </c>
      <c r="H127" s="51">
        <v>40</v>
      </c>
      <c r="I127" s="52" t="s">
        <v>418</v>
      </c>
    </row>
    <row r="128" spans="1:9" s="1" customFormat="1" ht="64.400000000000006" customHeight="1" x14ac:dyDescent="0.3">
      <c r="A128" s="29" t="s">
        <v>207</v>
      </c>
      <c r="B128" s="27" t="s">
        <v>535</v>
      </c>
      <c r="C128" s="32"/>
      <c r="D128" s="32"/>
      <c r="E128" s="32"/>
      <c r="F128" s="28"/>
      <c r="G128" s="77" t="str">
        <f>IF(C128="","",IF(C128="Yes","Please provide a brief description of this process.","State plans to support secure deletion for archived/backed-up Utility data."))</f>
        <v/>
      </c>
      <c r="H128" s="51">
        <v>46</v>
      </c>
      <c r="I128" s="52" t="s">
        <v>419</v>
      </c>
    </row>
    <row r="129" spans="1:9" s="1" customFormat="1" ht="75.05" customHeight="1" x14ac:dyDescent="0.3">
      <c r="A129" s="29" t="s">
        <v>208</v>
      </c>
      <c r="B129" s="27" t="s">
        <v>551</v>
      </c>
      <c r="C129" s="32"/>
      <c r="D129" s="32"/>
      <c r="E129" s="32"/>
      <c r="F129" s="28"/>
      <c r="G129" s="77" t="s">
        <v>552</v>
      </c>
      <c r="H129" s="51">
        <v>24</v>
      </c>
      <c r="I129" s="52" t="s">
        <v>420</v>
      </c>
    </row>
    <row r="130" spans="1:9" s="1" customFormat="1" ht="103.15" customHeight="1" x14ac:dyDescent="0.3">
      <c r="A130" s="29" t="s">
        <v>209</v>
      </c>
      <c r="B130" s="27" t="s">
        <v>572</v>
      </c>
      <c r="C130" s="32"/>
      <c r="D130" s="32"/>
      <c r="E130" s="32"/>
      <c r="F130" s="28"/>
      <c r="G130" s="77" t="str">
        <f>IF(C130="","",IF(C130="Yes","Please describe this program in adequate detail.",""))</f>
        <v/>
      </c>
      <c r="H130" s="51">
        <v>54</v>
      </c>
      <c r="I130" s="52" t="s">
        <v>421</v>
      </c>
    </row>
    <row r="131" spans="1:9" s="1" customFormat="1" ht="68.95" customHeight="1" x14ac:dyDescent="0.3">
      <c r="A131" s="29" t="s">
        <v>361</v>
      </c>
      <c r="B131" s="27" t="s">
        <v>348</v>
      </c>
      <c r="C131" s="32"/>
      <c r="D131" s="32"/>
      <c r="E131" s="32"/>
      <c r="F131" s="28"/>
      <c r="G131" s="77"/>
      <c r="H131" s="51">
        <v>58</v>
      </c>
      <c r="I131" s="52" t="s">
        <v>422</v>
      </c>
    </row>
    <row r="132" spans="1:9" s="1" customFormat="1" ht="68.95" customHeight="1" x14ac:dyDescent="0.3">
      <c r="A132" s="29" t="s">
        <v>210</v>
      </c>
      <c r="B132" s="27" t="s">
        <v>573</v>
      </c>
      <c r="C132" s="32"/>
      <c r="D132" s="32"/>
      <c r="E132" s="32"/>
      <c r="F132" s="28"/>
      <c r="G132" s="77" t="s">
        <v>349</v>
      </c>
      <c r="H132" s="51">
        <v>52</v>
      </c>
      <c r="I132" s="52" t="s">
        <v>495</v>
      </c>
    </row>
    <row r="133" spans="1:9" s="1" customFormat="1" ht="47.1" customHeight="1" x14ac:dyDescent="0.3">
      <c r="A133" s="29" t="s">
        <v>211</v>
      </c>
      <c r="B133" s="27" t="s">
        <v>119</v>
      </c>
      <c r="C133" s="32"/>
      <c r="D133" s="32"/>
      <c r="E133" s="32"/>
      <c r="F133" s="28"/>
      <c r="G133" s="74" t="str">
        <f>IF(C133="","",IF(C133="Yes","Summarize your defined problem/issue escalation plan contained in your BCP.","Describe any plans to define a problem/issue escalation plan in your BCP."))</f>
        <v/>
      </c>
      <c r="H133" s="51"/>
      <c r="I133" s="52"/>
    </row>
    <row r="134" spans="1:9" s="1" customFormat="1" ht="64.400000000000006" customHeight="1" x14ac:dyDescent="0.3">
      <c r="A134" s="29" t="s">
        <v>212</v>
      </c>
      <c r="B134" s="27" t="s">
        <v>574</v>
      </c>
      <c r="C134" s="32"/>
      <c r="D134" s="32"/>
      <c r="E134" s="32"/>
      <c r="F134" s="35"/>
      <c r="G134" s="74" t="str">
        <f>IF(C134="","",IF(C134="Yes","Provide a valid URL to your current DRP or submit it along with this fully-populated questionnaire.","Describe any plans to develop a Disaster Recovery Plan (DRP)."))</f>
        <v/>
      </c>
      <c r="H134" s="51"/>
      <c r="I134" s="52"/>
    </row>
    <row r="135" spans="1:9" s="1" customFormat="1" ht="64.400000000000006" customHeight="1" x14ac:dyDescent="0.3">
      <c r="A135" s="29" t="s">
        <v>213</v>
      </c>
      <c r="B135" s="27" t="s">
        <v>575</v>
      </c>
      <c r="C135" s="32"/>
      <c r="D135" s="32"/>
      <c r="E135" s="32"/>
      <c r="F135" s="28"/>
      <c r="G135" s="76" t="str">
        <f>IF(C135="","",IF(C135="Yes","Provide links to these documents in Additional Information or attach them with your submission. Include the responsible party for your information security program and the size of your security staff.","Provide a brief summary for this response."))</f>
        <v/>
      </c>
      <c r="H135" s="51"/>
      <c r="I135" s="52"/>
    </row>
    <row r="136" spans="1:9" s="1" customFormat="1" ht="64.400000000000006" customHeight="1" x14ac:dyDescent="0.3">
      <c r="A136" s="29" t="s">
        <v>214</v>
      </c>
      <c r="B136" s="27" t="s">
        <v>167</v>
      </c>
      <c r="C136" s="32"/>
      <c r="D136" s="32"/>
      <c r="E136" s="32"/>
      <c r="F136" s="28"/>
      <c r="G136" s="74" t="str">
        <f>IF(C136="","",IF(C136="Yes","Describe how data will be returned to the Utility and in what format will it be presented, as well as how data will be securely deleted from your systems.","Summarize why the Utility's data won't be returned, and plans to implement secure deletion of Utility data."))</f>
        <v/>
      </c>
      <c r="H136" s="51"/>
      <c r="I136" s="52"/>
    </row>
    <row r="137" spans="1:9" s="1" customFormat="1" ht="64.400000000000006" customHeight="1" x14ac:dyDescent="0.3">
      <c r="A137" s="29" t="s">
        <v>215</v>
      </c>
      <c r="B137" s="27" t="s">
        <v>168</v>
      </c>
      <c r="C137" s="32"/>
      <c r="D137" s="32"/>
      <c r="E137" s="32"/>
      <c r="F137" s="28"/>
      <c r="G137" s="73" t="str">
        <f>IF(C137="","",IF(C137="Yes","Provide a reference to the requested documents, or provide them when submitting this fully-populated questionnaire.","State any plans to develop or provide data retention policies for Utility data."))</f>
        <v/>
      </c>
      <c r="H137" s="51"/>
      <c r="I137" s="52"/>
    </row>
    <row r="138" spans="1:9" s="1" customFormat="1" ht="64.400000000000006" customHeight="1" x14ac:dyDescent="0.3">
      <c r="A138" s="29" t="s">
        <v>277</v>
      </c>
      <c r="B138" s="27" t="s">
        <v>576</v>
      </c>
      <c r="C138" s="32"/>
      <c r="D138" s="32"/>
      <c r="E138" s="32"/>
      <c r="F138" s="28"/>
      <c r="G138" s="74" t="str">
        <f>IF(C138="","",IF(C138="Yes","Provide reference to or attach your data ownership documention.","Describe in detail why ownership rights are not retained by the Utility."))</f>
        <v/>
      </c>
      <c r="H138" s="51"/>
      <c r="I138" s="52"/>
    </row>
    <row r="139" spans="1:9" s="1" customFormat="1" ht="64.400000000000006" customHeight="1" x14ac:dyDescent="0.3">
      <c r="A139" s="29" t="s">
        <v>296</v>
      </c>
      <c r="B139" s="27" t="s">
        <v>66</v>
      </c>
      <c r="C139" s="32"/>
      <c r="D139" s="32"/>
      <c r="E139" s="32"/>
      <c r="F139" s="28"/>
      <c r="G139" s="77" t="str">
        <f>IF(C139="","",IF(C139="Yes","Provide a general summary of your long-term data retention strategy.","State plans to implement a long-term data retention strategy."))</f>
        <v/>
      </c>
      <c r="H139" s="51"/>
      <c r="I139" s="52"/>
    </row>
    <row r="140" spans="1:9" s="1" customFormat="1" ht="64.400000000000006" customHeight="1" x14ac:dyDescent="0.3">
      <c r="A140" s="29" t="s">
        <v>344</v>
      </c>
      <c r="B140" s="27" t="s">
        <v>122</v>
      </c>
      <c r="C140" s="32"/>
      <c r="D140" s="32"/>
      <c r="E140" s="32"/>
      <c r="F140" s="28"/>
      <c r="G140" s="77" t="str">
        <f>IF(C140="","",IF(C140="Yes","Describe how compliance is integrated into your process and procedures.","State plans to handle data in a compliant manner."))</f>
        <v/>
      </c>
      <c r="H140" s="51"/>
      <c r="I140" s="52"/>
    </row>
    <row r="141" spans="1:9" s="1" customFormat="1" ht="53.6" customHeight="1" x14ac:dyDescent="0.3">
      <c r="A141" s="111" t="s">
        <v>161</v>
      </c>
      <c r="B141" s="111"/>
      <c r="C141" s="3" t="s">
        <v>638</v>
      </c>
      <c r="D141" s="3" t="s">
        <v>639</v>
      </c>
      <c r="E141" s="3" t="s">
        <v>110</v>
      </c>
      <c r="F141" s="3" t="s">
        <v>17</v>
      </c>
      <c r="G141" s="4" t="s">
        <v>18</v>
      </c>
      <c r="H141" s="3" t="s">
        <v>386</v>
      </c>
      <c r="I141" s="3" t="s">
        <v>412</v>
      </c>
    </row>
    <row r="142" spans="1:9" s="1" customFormat="1" ht="48.05" customHeight="1" x14ac:dyDescent="0.3">
      <c r="A142" s="29" t="s">
        <v>37</v>
      </c>
      <c r="B142" s="27" t="s">
        <v>359</v>
      </c>
      <c r="C142" s="32"/>
      <c r="D142" s="32"/>
      <c r="E142" s="32"/>
      <c r="F142" s="28"/>
      <c r="G142" s="74" t="str">
        <f>IF(C142="","",IF(C142="Yes","Summarize your current change management process.","Describe current plans to implement a change management process."))</f>
        <v/>
      </c>
      <c r="H142" s="51"/>
      <c r="I142" s="52"/>
    </row>
    <row r="143" spans="1:9" ht="77.95" customHeight="1" x14ac:dyDescent="0.3">
      <c r="A143" s="29" t="s">
        <v>38</v>
      </c>
      <c r="B143" s="27" t="s">
        <v>270</v>
      </c>
      <c r="C143" s="32"/>
      <c r="D143" s="32"/>
      <c r="E143" s="32"/>
      <c r="F143" s="33"/>
      <c r="G143" s="74" t="str">
        <f>IF(C143="","",IF(C143="Yes","Describe how this is accomplished within your environment.","Describe your plans to ensure that only application software verifiable as authorized, tested, and approved for production, is placed into production."))</f>
        <v/>
      </c>
      <c r="H143" s="51"/>
      <c r="I143" s="52" t="s">
        <v>490</v>
      </c>
    </row>
    <row r="144" spans="1:9" ht="48.05" customHeight="1" x14ac:dyDescent="0.3">
      <c r="A144" s="29" t="s">
        <v>39</v>
      </c>
      <c r="B144" s="27" t="s">
        <v>360</v>
      </c>
      <c r="C144" s="32"/>
      <c r="D144" s="32"/>
      <c r="E144" s="32"/>
      <c r="F144" s="33"/>
      <c r="G144" s="74" t="s">
        <v>338</v>
      </c>
      <c r="H144" s="51">
        <v>50</v>
      </c>
      <c r="I144" s="52" t="s">
        <v>413</v>
      </c>
    </row>
    <row r="145" spans="1:178" ht="48.05" customHeight="1" x14ac:dyDescent="0.3">
      <c r="A145" s="29" t="s">
        <v>40</v>
      </c>
      <c r="B145" s="27" t="s">
        <v>346</v>
      </c>
      <c r="C145" s="32"/>
      <c r="D145" s="32"/>
      <c r="E145" s="32"/>
      <c r="F145" s="28"/>
      <c r="G145" s="77"/>
      <c r="H145" s="51">
        <v>56</v>
      </c>
      <c r="I145" s="52" t="s">
        <v>414</v>
      </c>
    </row>
    <row r="146" spans="1:178" s="1" customFormat="1" ht="48.05" customHeight="1" x14ac:dyDescent="0.3">
      <c r="A146" s="29" t="s">
        <v>42</v>
      </c>
      <c r="B146" s="27" t="s">
        <v>577</v>
      </c>
      <c r="C146" s="32"/>
      <c r="D146" s="32"/>
      <c r="E146" s="32"/>
      <c r="F146" s="28"/>
      <c r="G146" s="74" t="str">
        <f>IF(C146="","",IF(C146="Yes","Summarize your implemented system configuration management process.","Describe how system configuration management is currently handled in your environment."))</f>
        <v/>
      </c>
      <c r="H146" s="51"/>
      <c r="I146" s="52"/>
    </row>
    <row r="147" spans="1:178" s="1" customFormat="1" ht="48.05" customHeight="1" x14ac:dyDescent="0.3">
      <c r="A147" s="29" t="s">
        <v>43</v>
      </c>
      <c r="B147" s="27" t="s">
        <v>86</v>
      </c>
      <c r="C147" s="32"/>
      <c r="D147" s="32"/>
      <c r="E147" s="32"/>
      <c r="F147" s="35"/>
      <c r="G147" s="76" t="str">
        <f>IF(C147="","",IF(C147="Yes","Summarize your systems management and configuration strategy.","Describe your intent to implement a systems management and configuration strategy."))</f>
        <v/>
      </c>
      <c r="H147" s="51"/>
      <c r="I147" s="52"/>
    </row>
    <row r="148" spans="1:178" s="1" customFormat="1" ht="90" customHeight="1" x14ac:dyDescent="0.3">
      <c r="A148" s="29" t="s">
        <v>44</v>
      </c>
      <c r="B148" s="27" t="s">
        <v>132</v>
      </c>
      <c r="C148" s="35"/>
      <c r="D148" s="35"/>
      <c r="E148" s="35"/>
      <c r="F148" s="35"/>
      <c r="G148" s="74" t="s">
        <v>655</v>
      </c>
      <c r="H148" s="51"/>
      <c r="I148" s="52"/>
    </row>
    <row r="149" spans="1:178" ht="64.400000000000006" customHeight="1" x14ac:dyDescent="0.3">
      <c r="A149" s="29" t="s">
        <v>45</v>
      </c>
      <c r="B149" s="27" t="s">
        <v>578</v>
      </c>
      <c r="C149" s="32"/>
      <c r="D149" s="32"/>
      <c r="E149" s="32"/>
      <c r="F149" s="33"/>
      <c r="G149" s="77" t="str">
        <f>IF(C149="","",IF(C149="Yes","State how and when the Utility will be notified of major changes to your environment.","Describe plans to establish a formal notification mechanism for major environmental changes."))</f>
        <v/>
      </c>
      <c r="H149" s="51"/>
      <c r="I149" s="52"/>
    </row>
    <row r="150" spans="1:178" ht="64.400000000000006" customHeight="1" x14ac:dyDescent="0.3">
      <c r="A150" s="29" t="s">
        <v>46</v>
      </c>
      <c r="B150" s="27" t="s">
        <v>41</v>
      </c>
      <c r="C150" s="32"/>
      <c r="D150" s="32"/>
      <c r="E150" s="32"/>
      <c r="F150" s="33"/>
      <c r="G150" s="77" t="str">
        <f>IF(C150="","",IF(C150="Yes","Summarize or provide a reference to the process/procedure to manage releases.","Summarize why clients do not have alternative release options."))</f>
        <v/>
      </c>
      <c r="H150" s="51"/>
      <c r="I150" s="52"/>
    </row>
    <row r="151" spans="1:178" ht="64.400000000000006" customHeight="1" x14ac:dyDescent="0.3">
      <c r="A151" s="29" t="s">
        <v>216</v>
      </c>
      <c r="B151" s="27" t="s">
        <v>133</v>
      </c>
      <c r="C151" s="32"/>
      <c r="D151" s="32"/>
      <c r="E151" s="32"/>
      <c r="F151" s="33"/>
      <c r="G151" s="77" t="str">
        <f>IF(C151="","",IF(C151="Yes","Please describe your support strategy.",""))</f>
        <v/>
      </c>
      <c r="H151" s="51"/>
      <c r="I151" s="52"/>
    </row>
    <row r="152" spans="1:178" ht="64.400000000000006" customHeight="1" x14ac:dyDescent="0.3">
      <c r="A152" s="29" t="s">
        <v>47</v>
      </c>
      <c r="B152" s="27" t="s">
        <v>120</v>
      </c>
      <c r="C152" s="32"/>
      <c r="D152" s="32"/>
      <c r="E152" s="32"/>
      <c r="F152" s="33"/>
      <c r="G152" s="74" t="str">
        <f>IF(C152="","",IF(C152="Yes","Describe how this is accomplished within your system.","Describe any business or technical reasons why customizations are not supported."))</f>
        <v/>
      </c>
      <c r="H152" s="51"/>
      <c r="I152" s="52"/>
    </row>
    <row r="153" spans="1:178" ht="64.400000000000006" customHeight="1" x14ac:dyDescent="0.3">
      <c r="A153" s="29" t="s">
        <v>48</v>
      </c>
      <c r="B153" s="27" t="s">
        <v>579</v>
      </c>
      <c r="C153" s="32"/>
      <c r="D153" s="32"/>
      <c r="E153" s="32"/>
      <c r="F153" s="33"/>
      <c r="G153" s="74" t="str">
        <f>IF(C153="","",IF(C153="Yes","Please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53" s="51"/>
      <c r="I153" s="52"/>
    </row>
    <row r="154" spans="1:178" ht="64.400000000000006" customHeight="1" x14ac:dyDescent="0.3">
      <c r="A154" s="29" t="s">
        <v>217</v>
      </c>
      <c r="B154" s="27" t="s">
        <v>580</v>
      </c>
      <c r="C154" s="17"/>
      <c r="D154" s="17"/>
      <c r="E154" s="17"/>
      <c r="F154" s="18"/>
      <c r="G154" s="74" t="str">
        <f>IF(C154="","",IF(C154="Yes","Summarize the policy and procedure(s) guiding risk mitigation practices before critical patches can be applied and provide a copy if available.","State your plans to implement policy and procedure(s) guiding risk mitigation practices before critical patches can be applied."))</f>
        <v/>
      </c>
      <c r="H154" s="51"/>
      <c r="I154" s="52"/>
    </row>
    <row r="155" spans="1:178" ht="48.05" customHeight="1" x14ac:dyDescent="0.3">
      <c r="A155" s="29" t="s">
        <v>345</v>
      </c>
      <c r="B155" s="27" t="s">
        <v>74</v>
      </c>
      <c r="C155" s="17"/>
      <c r="D155" s="17"/>
      <c r="E155" s="17"/>
      <c r="F155" s="21"/>
      <c r="G155" s="74" t="str">
        <f>IF(C155="","",IF(C155="Yes","Please describe the policy, including required approvals, for firewall change requests.","State your plans to implement a firewall change request policy or procedure."))</f>
        <v/>
      </c>
      <c r="H155" s="51"/>
      <c r="I155" s="52"/>
    </row>
    <row r="156" spans="1:178" ht="54.85" x14ac:dyDescent="0.25">
      <c r="A156" s="111" t="s">
        <v>166</v>
      </c>
      <c r="B156" s="111"/>
      <c r="C156" s="3" t="s">
        <v>638</v>
      </c>
      <c r="D156" s="3" t="s">
        <v>639</v>
      </c>
      <c r="E156" s="3" t="s">
        <v>110</v>
      </c>
      <c r="F156" s="3" t="s">
        <v>17</v>
      </c>
      <c r="G156" s="4" t="s">
        <v>18</v>
      </c>
      <c r="H156" s="3" t="s">
        <v>386</v>
      </c>
      <c r="I156" s="3" t="s">
        <v>412</v>
      </c>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row>
    <row r="157" spans="1:178" ht="48.05" customHeight="1" x14ac:dyDescent="0.25">
      <c r="A157" s="29" t="s">
        <v>363</v>
      </c>
      <c r="B157" s="27" t="s">
        <v>362</v>
      </c>
      <c r="C157" s="17"/>
      <c r="D157" s="17"/>
      <c r="E157" s="17"/>
      <c r="F157" s="20"/>
      <c r="G157" s="74" t="str">
        <f>IF(C157="","",IF(C157="Yes","Provide a general summary of your archival environment.","State plans to store long-term media in environmentally protected areas."))</f>
        <v/>
      </c>
      <c r="H157" s="53"/>
      <c r="I157" s="53" t="s">
        <v>424</v>
      </c>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row>
    <row r="158" spans="1:178" ht="48.05" customHeight="1" x14ac:dyDescent="0.25">
      <c r="A158" s="29" t="s">
        <v>364</v>
      </c>
      <c r="B158" s="27" t="s">
        <v>581</v>
      </c>
      <c r="C158" s="32"/>
      <c r="D158" s="32"/>
      <c r="E158" s="32"/>
      <c r="F158" s="28"/>
      <c r="G158" s="74" t="str">
        <f>IF(C158="","",IF(C158="Yes","","Please state the owner of the physical data center where the utility's data will reside."))</f>
        <v/>
      </c>
      <c r="H158" s="53"/>
      <c r="I158" s="53" t="s">
        <v>425</v>
      </c>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row>
    <row r="159" spans="1:178" ht="48.05" customHeight="1" x14ac:dyDescent="0.25">
      <c r="A159" s="29" t="s">
        <v>365</v>
      </c>
      <c r="B159" s="27" t="s">
        <v>70</v>
      </c>
      <c r="C159" s="32"/>
      <c r="D159" s="32"/>
      <c r="E159" s="32"/>
      <c r="F159" s="28"/>
      <c r="G159" s="74" t="str">
        <f>IF(C159="","",IF(C159="Yes","","Please describe security controls that prevent unauthorized physical contacts with your devices."))</f>
        <v/>
      </c>
      <c r="H159" s="53"/>
      <c r="I159" s="53"/>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row>
    <row r="160" spans="1:178" ht="48.05" customHeight="1" x14ac:dyDescent="0.25">
      <c r="A160" s="29" t="s">
        <v>366</v>
      </c>
      <c r="B160" s="27" t="s">
        <v>582</v>
      </c>
      <c r="C160" s="32"/>
      <c r="D160" s="32"/>
      <c r="E160" s="32"/>
      <c r="F160" s="28"/>
      <c r="G160" s="74"/>
      <c r="H160" s="53"/>
      <c r="I160" s="53"/>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row>
    <row r="161" spans="1:178" ht="48.05" customHeight="1" x14ac:dyDescent="0.25">
      <c r="A161" s="29" t="s">
        <v>367</v>
      </c>
      <c r="B161" s="27" t="s">
        <v>583</v>
      </c>
      <c r="C161" s="30"/>
      <c r="D161" s="30"/>
      <c r="E161" s="30"/>
      <c r="F161" s="23"/>
      <c r="G161" s="74" t="str">
        <f>IF(C161="","",IF(C161="Yes","Please describe how this is accomplished, including the process by which it is ensure that access has been approved before it is provisioned.","Please describe plans to implement appropriate segregation of duties."))</f>
        <v/>
      </c>
      <c r="H161" s="53"/>
      <c r="I161" s="53" t="s">
        <v>426</v>
      </c>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row>
    <row r="162" spans="1:178" ht="48.05" customHeight="1" x14ac:dyDescent="0.25">
      <c r="A162" s="29" t="s">
        <v>368</v>
      </c>
      <c r="B162" s="27" t="s">
        <v>121</v>
      </c>
      <c r="C162" s="35"/>
      <c r="D162" s="35"/>
      <c r="E162" s="35"/>
      <c r="F162" s="35"/>
      <c r="G162" s="74" t="s">
        <v>62</v>
      </c>
      <c r="H162" s="53"/>
      <c r="I162" s="53"/>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row>
    <row r="163" spans="1:178" ht="48.05" customHeight="1" x14ac:dyDescent="0.25">
      <c r="A163" s="29" t="s">
        <v>369</v>
      </c>
      <c r="B163" s="27" t="s">
        <v>135</v>
      </c>
      <c r="C163" s="17"/>
      <c r="D163" s="17"/>
      <c r="E163" s="17"/>
      <c r="F163" s="20"/>
      <c r="G163" s="74" t="str">
        <f>IF(C163="","",IF(C163="Yes","","State plans to adhere to DoD 5220.22-M and/or NIST SP 800-88 standards."))</f>
        <v/>
      </c>
      <c r="H163" s="53"/>
      <c r="I163" s="53"/>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row>
    <row r="164" spans="1:178" ht="48.05" customHeight="1" x14ac:dyDescent="0.25">
      <c r="A164" s="29" t="s">
        <v>370</v>
      </c>
      <c r="B164" s="27" t="s">
        <v>72</v>
      </c>
      <c r="C164" s="17"/>
      <c r="D164" s="17"/>
      <c r="E164" s="17"/>
      <c r="F164" s="20"/>
      <c r="G164" s="74" t="str">
        <f>IF(C164="","",IF(C164="Yes","Describe how and where WAFs are currently implemented in your environment.","Describe any plans to implement a WAF in your environment."))</f>
        <v/>
      </c>
      <c r="H164" s="53"/>
      <c r="I164" s="53"/>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row>
    <row r="165" spans="1:178" ht="48.05" customHeight="1" x14ac:dyDescent="0.25">
      <c r="A165" s="29" t="s">
        <v>371</v>
      </c>
      <c r="B165" s="27" t="s">
        <v>73</v>
      </c>
      <c r="C165" s="17"/>
      <c r="D165" s="17"/>
      <c r="E165" s="17"/>
      <c r="F165" s="20"/>
      <c r="G165" s="74" t="str">
        <f>IF(C165="","",IF(C165="Yes","Describe how and where SPI firewalls are currently implemented in your environment.","State any plans to implement SPI firewalls in your environment."))</f>
        <v/>
      </c>
      <c r="H165" s="53"/>
      <c r="I165" s="53"/>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row>
    <row r="166" spans="1:178" ht="48.05" customHeight="1" x14ac:dyDescent="0.25">
      <c r="A166" s="29" t="s">
        <v>218</v>
      </c>
      <c r="B166" s="27" t="s">
        <v>584</v>
      </c>
      <c r="C166" s="20"/>
      <c r="D166" s="20"/>
      <c r="E166" s="20"/>
      <c r="F166" s="20"/>
      <c r="G166" s="74"/>
      <c r="H166" s="53"/>
      <c r="I166" s="53"/>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row>
    <row r="167" spans="1:178" ht="48.05" customHeight="1" x14ac:dyDescent="0.25">
      <c r="A167" s="29" t="s">
        <v>219</v>
      </c>
      <c r="B167" s="27" t="s">
        <v>75</v>
      </c>
      <c r="C167" s="17"/>
      <c r="D167" s="17"/>
      <c r="E167" s="17"/>
      <c r="F167" s="20"/>
      <c r="G167" s="74" t="str">
        <f>IF(C167="","",IF(C167="Yes","","Please describe for which network(s) and/or tool(s) audit logs are not available."))</f>
        <v/>
      </c>
      <c r="H167" s="53"/>
      <c r="I167" s="53"/>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row>
    <row r="168" spans="1:178" ht="48.05" customHeight="1" x14ac:dyDescent="0.25">
      <c r="A168" s="29" t="s">
        <v>220</v>
      </c>
      <c r="B168" s="27" t="s">
        <v>169</v>
      </c>
      <c r="C168" s="17"/>
      <c r="D168" s="17"/>
      <c r="E168" s="17"/>
      <c r="F168" s="20"/>
      <c r="G168" s="74" t="str">
        <f>IF(C168="","",IF(C168="Yes","Please describe how the development environments/systems are isolated.","Describe any plans to segregate development environments/systems from other networks."))</f>
        <v/>
      </c>
      <c r="H168" s="53"/>
      <c r="I168" s="53"/>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row>
    <row r="169" spans="1:178" ht="48.05" customHeight="1" x14ac:dyDescent="0.25">
      <c r="A169" s="29" t="s">
        <v>221</v>
      </c>
      <c r="B169" s="27" t="s">
        <v>159</v>
      </c>
      <c r="C169" s="20"/>
      <c r="D169" s="20"/>
      <c r="E169" s="20"/>
      <c r="F169" s="20"/>
      <c r="G169" s="74"/>
      <c r="H169" s="53"/>
      <c r="I169" s="53"/>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row>
    <row r="170" spans="1:178" ht="48.05" customHeight="1" x14ac:dyDescent="0.25">
      <c r="A170" s="29" t="s">
        <v>222</v>
      </c>
      <c r="B170" s="27" t="s">
        <v>67</v>
      </c>
      <c r="C170" s="17"/>
      <c r="D170" s="17"/>
      <c r="E170" s="17"/>
      <c r="F170" s="20"/>
      <c r="G170" s="74" t="str">
        <f>IF(C170="","",IF(C170="Yes","Please provide a copy of the SOC 2 Type 2 audit report.","Describe any plans to conduct a SOC 2 Type 2 audit."))</f>
        <v/>
      </c>
      <c r="H170" s="53"/>
      <c r="I170" s="53"/>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row>
    <row r="171" spans="1:178" ht="48.05" customHeight="1" x14ac:dyDescent="0.25">
      <c r="A171" s="29" t="s">
        <v>223</v>
      </c>
      <c r="B171" s="27" t="s">
        <v>68</v>
      </c>
      <c r="C171" s="17"/>
      <c r="D171" s="17"/>
      <c r="E171" s="17"/>
      <c r="F171" s="20"/>
      <c r="G171" s="74"/>
      <c r="H171" s="53"/>
      <c r="I171" s="53"/>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row>
    <row r="172" spans="1:178" ht="48.05" customHeight="1" x14ac:dyDescent="0.25">
      <c r="A172" s="29" t="s">
        <v>224</v>
      </c>
      <c r="B172" s="27" t="s">
        <v>69</v>
      </c>
      <c r="C172" s="17"/>
      <c r="D172" s="17"/>
      <c r="E172" s="17"/>
      <c r="F172" s="20"/>
      <c r="G172" s="74" t="str">
        <f>IF(C172="","",IF(C172="Yes","","Please describe how your servers are physically separated/isolated from those of other customers."))</f>
        <v/>
      </c>
      <c r="H172" s="53"/>
      <c r="I172" s="53"/>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row>
    <row r="173" spans="1:178" ht="48.05" customHeight="1" x14ac:dyDescent="0.25">
      <c r="A173" s="29" t="s">
        <v>225</v>
      </c>
      <c r="B173" s="27" t="s">
        <v>71</v>
      </c>
      <c r="C173" s="17"/>
      <c r="D173" s="17"/>
      <c r="E173" s="17"/>
      <c r="F173" s="20"/>
      <c r="G173" s="74"/>
      <c r="H173" s="53"/>
      <c r="I173" s="53"/>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row>
    <row r="174" spans="1:178" ht="48.05" customHeight="1" x14ac:dyDescent="0.25">
      <c r="A174" s="29" t="s">
        <v>226</v>
      </c>
      <c r="B174" s="27" t="s">
        <v>585</v>
      </c>
      <c r="C174" s="17"/>
      <c r="D174" s="17"/>
      <c r="E174" s="17"/>
      <c r="F174" s="20"/>
      <c r="G174" s="74"/>
      <c r="H174" s="53"/>
      <c r="I174" s="53"/>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row>
    <row r="175" spans="1:178" ht="48.05" customHeight="1" x14ac:dyDescent="0.25">
      <c r="A175" s="29" t="s">
        <v>227</v>
      </c>
      <c r="B175" s="27" t="s">
        <v>586</v>
      </c>
      <c r="C175" s="17"/>
      <c r="D175" s="17"/>
      <c r="E175" s="17"/>
      <c r="F175" s="20"/>
      <c r="G175" s="74"/>
      <c r="H175" s="53"/>
      <c r="I175" s="53"/>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row>
    <row r="176" spans="1:178" ht="48.05" customHeight="1" x14ac:dyDescent="0.25">
      <c r="A176" s="29" t="s">
        <v>228</v>
      </c>
      <c r="B176" s="27" t="s">
        <v>587</v>
      </c>
      <c r="C176" s="17"/>
      <c r="D176" s="17"/>
      <c r="E176" s="17"/>
      <c r="F176" s="20"/>
      <c r="G176" s="74"/>
      <c r="H176" s="53"/>
      <c r="I176" s="53"/>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row>
    <row r="177" spans="1:178" ht="48.05" customHeight="1" x14ac:dyDescent="0.25">
      <c r="A177" s="29" t="s">
        <v>229</v>
      </c>
      <c r="B177" s="27" t="s">
        <v>81</v>
      </c>
      <c r="C177" s="17"/>
      <c r="D177" s="17"/>
      <c r="E177" s="17"/>
      <c r="F177" s="20"/>
      <c r="G177" s="74"/>
      <c r="H177" s="53"/>
      <c r="I177" s="53"/>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row>
    <row r="178" spans="1:178" ht="48.05" customHeight="1" x14ac:dyDescent="0.25">
      <c r="A178" s="29" t="s">
        <v>230</v>
      </c>
      <c r="B178" s="27" t="s">
        <v>113</v>
      </c>
      <c r="C178" s="17"/>
      <c r="D178" s="17"/>
      <c r="E178" s="17"/>
      <c r="F178" s="20"/>
      <c r="G178" s="74"/>
      <c r="H178" s="53"/>
      <c r="I178" s="53"/>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row>
    <row r="179" spans="1:178" ht="48.05" customHeight="1" x14ac:dyDescent="0.25">
      <c r="A179" s="29" t="s">
        <v>231</v>
      </c>
      <c r="B179" s="27" t="s">
        <v>114</v>
      </c>
      <c r="C179" s="17"/>
      <c r="D179" s="17"/>
      <c r="E179" s="17"/>
      <c r="F179" s="20"/>
      <c r="G179" s="74"/>
      <c r="H179" s="53"/>
      <c r="I179" s="53"/>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row>
    <row r="180" spans="1:178" ht="48.05" customHeight="1" x14ac:dyDescent="0.25">
      <c r="A180" s="29" t="s">
        <v>280</v>
      </c>
      <c r="B180" s="27" t="s">
        <v>271</v>
      </c>
      <c r="C180" s="17"/>
      <c r="D180" s="17"/>
      <c r="E180" s="17"/>
      <c r="F180" s="20"/>
      <c r="G180" s="74"/>
      <c r="H180" s="53"/>
      <c r="I180" s="53"/>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row>
    <row r="181" spans="1:178" ht="54.85" x14ac:dyDescent="0.25">
      <c r="A181" s="111" t="s">
        <v>170</v>
      </c>
      <c r="B181" s="111"/>
      <c r="C181" s="3" t="s">
        <v>638</v>
      </c>
      <c r="D181" s="3" t="s">
        <v>639</v>
      </c>
      <c r="E181" s="3" t="s">
        <v>110</v>
      </c>
      <c r="F181" s="3" t="s">
        <v>17</v>
      </c>
      <c r="G181" s="4" t="s">
        <v>18</v>
      </c>
      <c r="H181" s="3" t="s">
        <v>386</v>
      </c>
      <c r="I181" s="3" t="s">
        <v>412</v>
      </c>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row>
    <row r="182" spans="1:178" ht="44.9" x14ac:dyDescent="0.25">
      <c r="A182" s="29" t="s">
        <v>49</v>
      </c>
      <c r="B182" s="27" t="s">
        <v>588</v>
      </c>
      <c r="C182" s="17"/>
      <c r="D182" s="17"/>
      <c r="E182" s="17"/>
      <c r="F182" s="19"/>
      <c r="G182" s="74" t="str">
        <f>IF(C182="","",IF(C182="Yes","Please state the algorithm/method used to achieve encryption in transit.","Please describe plans to encrypt data-in-transit."))</f>
        <v/>
      </c>
      <c r="H182" s="53">
        <v>18</v>
      </c>
      <c r="I182" s="53" t="s">
        <v>427</v>
      </c>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row>
    <row r="183" spans="1:178" ht="59.85" x14ac:dyDescent="0.25">
      <c r="A183" s="29" t="s">
        <v>232</v>
      </c>
      <c r="B183" s="27" t="s">
        <v>589</v>
      </c>
      <c r="C183" s="17"/>
      <c r="D183" s="17"/>
      <c r="E183" s="17"/>
      <c r="F183" s="19"/>
      <c r="G183" s="74"/>
      <c r="H183" s="53">
        <v>44</v>
      </c>
      <c r="I183" s="53" t="s">
        <v>428</v>
      </c>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row>
    <row r="184" spans="1:178" ht="64.400000000000006" customHeight="1" x14ac:dyDescent="0.25">
      <c r="A184" s="29" t="s">
        <v>50</v>
      </c>
      <c r="B184" s="27" t="s">
        <v>536</v>
      </c>
      <c r="C184" s="17"/>
      <c r="D184" s="17"/>
      <c r="E184" s="17"/>
      <c r="F184" s="19"/>
      <c r="G184" s="74" t="str">
        <f>IF(C184="","",IF(C184="Yes","Please state the algorithm/method used to achieve encryption in transit.","Please describe plans to encrypt data-in-transit."))</f>
        <v/>
      </c>
      <c r="H184" s="53">
        <v>42</v>
      </c>
      <c r="I184" s="53" t="s">
        <v>429</v>
      </c>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row>
    <row r="185" spans="1:178" ht="64.400000000000006" customHeight="1" x14ac:dyDescent="0.25">
      <c r="A185" s="29" t="s">
        <v>51</v>
      </c>
      <c r="B185" s="27" t="s">
        <v>590</v>
      </c>
      <c r="C185" s="17"/>
      <c r="D185" s="17"/>
      <c r="E185" s="17"/>
      <c r="F185" s="19"/>
      <c r="G185" s="74" t="str">
        <f>IF(C185="","",IF(C185="Yes","Please state the algorithm/method used to achieve encryption at rest.","Please describe plans to encrypt data-at-rest."))</f>
        <v/>
      </c>
      <c r="H185" s="53"/>
      <c r="I185" s="53" t="s">
        <v>430</v>
      </c>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row>
    <row r="186" spans="1:178" ht="64.400000000000006" customHeight="1" x14ac:dyDescent="0.25">
      <c r="A186" s="29" t="s">
        <v>52</v>
      </c>
      <c r="B186" s="27" t="s">
        <v>65</v>
      </c>
      <c r="C186" s="17"/>
      <c r="D186" s="17"/>
      <c r="E186" s="17"/>
      <c r="F186" s="19"/>
      <c r="G186" s="74"/>
      <c r="H186" s="53"/>
      <c r="I186" s="53"/>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row>
    <row r="187" spans="1:178" ht="64.400000000000006" customHeight="1" x14ac:dyDescent="0.25">
      <c r="A187" s="29" t="s">
        <v>53</v>
      </c>
      <c r="B187" s="27" t="s">
        <v>591</v>
      </c>
      <c r="C187" s="32"/>
      <c r="D187" s="32"/>
      <c r="E187" s="32"/>
      <c r="F187" s="35"/>
      <c r="G187" s="74"/>
      <c r="H187" s="53"/>
      <c r="I187" s="53" t="s">
        <v>431</v>
      </c>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row>
    <row r="188" spans="1:178" ht="64.400000000000006" customHeight="1" x14ac:dyDescent="0.25">
      <c r="A188" s="29" t="s">
        <v>54</v>
      </c>
      <c r="B188" s="27" t="s">
        <v>377</v>
      </c>
      <c r="C188" s="32"/>
      <c r="D188" s="32"/>
      <c r="E188" s="32"/>
      <c r="F188" s="35"/>
      <c r="G188" s="74" t="str">
        <f>IF(C188="","",IF(C188="Yes","Please describe or provide a reference to this program.",""))</f>
        <v/>
      </c>
      <c r="H188" s="53">
        <v>38</v>
      </c>
      <c r="I188" s="53" t="s">
        <v>432</v>
      </c>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row>
    <row r="189" spans="1:178" ht="64.400000000000006" customHeight="1" x14ac:dyDescent="0.25">
      <c r="A189" s="29" t="s">
        <v>55</v>
      </c>
      <c r="B189" s="27" t="s">
        <v>537</v>
      </c>
      <c r="C189" s="32"/>
      <c r="D189" s="32"/>
      <c r="E189" s="32"/>
      <c r="F189" s="35"/>
      <c r="G189" s="74" t="str">
        <f>IF(C189="","",IF(C189="Yes","","Please identify technologies that are not covered by your program, and how data is secured as it pertains to these technologies."))</f>
        <v/>
      </c>
      <c r="H189" s="53">
        <v>41</v>
      </c>
      <c r="I189" s="53" t="s">
        <v>433</v>
      </c>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row>
    <row r="190" spans="1:178" ht="64.400000000000006" customHeight="1" x14ac:dyDescent="0.25">
      <c r="A190" s="29" t="s">
        <v>56</v>
      </c>
      <c r="B190" s="27" t="s">
        <v>332</v>
      </c>
      <c r="C190" s="32"/>
      <c r="D190" s="32"/>
      <c r="E190" s="32"/>
      <c r="F190" s="35"/>
      <c r="G190" s="74"/>
      <c r="H190" s="53">
        <v>43</v>
      </c>
      <c r="I190" s="53" t="s">
        <v>434</v>
      </c>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row>
    <row r="191" spans="1:178" ht="64.400000000000006" customHeight="1" x14ac:dyDescent="0.25">
      <c r="A191" s="29" t="s">
        <v>57</v>
      </c>
      <c r="B191" s="27" t="s">
        <v>334</v>
      </c>
      <c r="C191" s="32"/>
      <c r="D191" s="32"/>
      <c r="E191" s="32"/>
      <c r="F191" s="35"/>
      <c r="G191" s="74" t="str">
        <f>IF(C191="","",IF(C191="Yes","Please describe your data loss prevention program and platforms supported.","State any plans to implement data loss prevention capabilities."))</f>
        <v/>
      </c>
      <c r="H191" s="53">
        <v>45</v>
      </c>
      <c r="I191" s="53" t="s">
        <v>435</v>
      </c>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row>
    <row r="192" spans="1:178" ht="64.400000000000006" customHeight="1" x14ac:dyDescent="0.25">
      <c r="A192" s="29" t="s">
        <v>233</v>
      </c>
      <c r="B192" s="27" t="s">
        <v>340</v>
      </c>
      <c r="C192" s="32"/>
      <c r="D192" s="32"/>
      <c r="E192" s="32"/>
      <c r="F192" s="35"/>
      <c r="G192" s="74" t="str">
        <f>IF(C192="","",IF(C192="Yes","Please describe the process(es) and/or control(s).",""))</f>
        <v/>
      </c>
      <c r="H192" s="53">
        <v>52</v>
      </c>
      <c r="I192" s="53" t="s">
        <v>423</v>
      </c>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row>
    <row r="193" spans="1:178" ht="48.05" customHeight="1" x14ac:dyDescent="0.25">
      <c r="A193" s="29" t="s">
        <v>234</v>
      </c>
      <c r="B193" s="27" t="s">
        <v>526</v>
      </c>
      <c r="C193" s="32"/>
      <c r="D193" s="32"/>
      <c r="E193" s="32"/>
      <c r="F193" s="28"/>
      <c r="G193" s="74" t="str">
        <f>IF(C193="","",IF(C193="Yes","Describe the on-site staff capabilities.","State any plans to staff data centers 24x7x365."))</f>
        <v/>
      </c>
      <c r="H193" s="53"/>
      <c r="I193" s="53"/>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row>
    <row r="194" spans="1:178" ht="64.400000000000006" customHeight="1" x14ac:dyDescent="0.25">
      <c r="A194" s="29" t="s">
        <v>58</v>
      </c>
      <c r="B194" s="27" t="s">
        <v>131</v>
      </c>
      <c r="C194" s="32"/>
      <c r="D194" s="32"/>
      <c r="E194" s="32"/>
      <c r="F194" s="35"/>
      <c r="G194" s="74" t="str">
        <f>IF(C194="","",IF(C194="Yes","Please describe why logical segregation of data is not implemented/possible in your environment.","Please describe how data is segregated."))</f>
        <v/>
      </c>
      <c r="H194" s="53"/>
      <c r="I194" s="53"/>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row>
    <row r="195" spans="1:178" ht="64.400000000000006" customHeight="1" x14ac:dyDescent="0.25">
      <c r="A195" s="29" t="s">
        <v>60</v>
      </c>
      <c r="B195" s="27" t="s">
        <v>592</v>
      </c>
      <c r="C195" s="32"/>
      <c r="D195" s="32"/>
      <c r="E195" s="32"/>
      <c r="F195" s="35"/>
      <c r="G195" s="74"/>
      <c r="H195" s="53"/>
      <c r="I195" s="53"/>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row>
    <row r="196" spans="1:178" ht="64.400000000000006" customHeight="1" x14ac:dyDescent="0.25">
      <c r="A196" s="29" t="s">
        <v>61</v>
      </c>
      <c r="B196" s="27" t="s">
        <v>148</v>
      </c>
      <c r="C196" s="32"/>
      <c r="D196" s="32"/>
      <c r="E196" s="32"/>
      <c r="F196" s="35"/>
      <c r="G196" s="74" t="str">
        <f>IF(C196="","",IF(C196="Yes","Please state the algorithm/method used to achieve encryption of databases.","Please describe plans to emcrypt databases."))</f>
        <v/>
      </c>
      <c r="H196" s="53"/>
      <c r="I196" s="53"/>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row>
    <row r="197" spans="1:178" ht="64.400000000000006" customHeight="1" x14ac:dyDescent="0.25">
      <c r="A197" s="29" t="s">
        <v>63</v>
      </c>
      <c r="B197" s="27" t="s">
        <v>593</v>
      </c>
      <c r="C197" s="32"/>
      <c r="D197" s="32"/>
      <c r="E197" s="32"/>
      <c r="F197" s="35"/>
      <c r="G197" s="74" t="str">
        <f>IF(C197="","",IF(C197="Yes","Please state the algorithm/method used to encrypt unstructured data.","Please describe plans to implement the encryption of unstructured data."))</f>
        <v/>
      </c>
      <c r="H197" s="53"/>
      <c r="I197" s="53"/>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row>
    <row r="198" spans="1:178" ht="64.400000000000006" customHeight="1" x14ac:dyDescent="0.25">
      <c r="A198" s="29" t="s">
        <v>235</v>
      </c>
      <c r="B198" s="27" t="s">
        <v>157</v>
      </c>
      <c r="C198" s="32"/>
      <c r="D198" s="32"/>
      <c r="E198" s="32"/>
      <c r="F198" s="35"/>
      <c r="G198" s="74" t="str">
        <f>IF(C198="","",IF(C198="Yes","Please describe how workstations and mobile devices are encrypted.","Describe plans to encrypt workstations and/or mobile devices."))</f>
        <v/>
      </c>
      <c r="H198" s="53"/>
      <c r="I198" s="53"/>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row>
    <row r="199" spans="1:178" ht="64.400000000000006" customHeight="1" x14ac:dyDescent="0.25">
      <c r="A199" s="29" t="s">
        <v>330</v>
      </c>
      <c r="B199" s="27" t="s">
        <v>134</v>
      </c>
      <c r="C199" s="32"/>
      <c r="D199" s="32"/>
      <c r="E199" s="32"/>
      <c r="F199" s="35"/>
      <c r="G199" s="74"/>
      <c r="H199" s="53"/>
      <c r="I199" s="53"/>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row>
    <row r="200" spans="1:178" ht="64.400000000000006" customHeight="1" x14ac:dyDescent="0.25">
      <c r="A200" s="29" t="s">
        <v>331</v>
      </c>
      <c r="B200" s="27" t="s">
        <v>594</v>
      </c>
      <c r="C200" s="32"/>
      <c r="D200" s="32"/>
      <c r="E200" s="32"/>
      <c r="F200" s="35"/>
      <c r="G200" s="74" t="str">
        <f>IF(C200="","",IF(C200="Yes","Please state the algorithm/method used to achieve encrypt data over TCP/IP.","Please describe plans to encrypt data over TCP/IP."))</f>
        <v/>
      </c>
      <c r="H200" s="53"/>
      <c r="I200" s="53" t="s">
        <v>430</v>
      </c>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row>
    <row r="201" spans="1:178" ht="64.400000000000006" customHeight="1" x14ac:dyDescent="0.25">
      <c r="A201" s="29" t="s">
        <v>333</v>
      </c>
      <c r="B201" s="27" t="s">
        <v>595</v>
      </c>
      <c r="C201" s="19"/>
      <c r="D201" s="19"/>
      <c r="E201" s="19"/>
      <c r="F201" s="19"/>
      <c r="G201" s="74" t="s">
        <v>274</v>
      </c>
      <c r="H201" s="53"/>
      <c r="I201" s="53"/>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row>
    <row r="202" spans="1:178" ht="64.400000000000006" customHeight="1" x14ac:dyDescent="0.25">
      <c r="A202" s="29" t="s">
        <v>339</v>
      </c>
      <c r="B202" s="27" t="s">
        <v>596</v>
      </c>
      <c r="C202" s="17"/>
      <c r="D202" s="17"/>
      <c r="E202" s="17"/>
      <c r="F202" s="19"/>
      <c r="G202" s="74" t="str">
        <f>IF(C202="","",IF(C202="Yes","Please list all cloud providers that will host Utility data.",""))</f>
        <v/>
      </c>
      <c r="H202" s="53"/>
      <c r="I202" s="53"/>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row>
    <row r="203" spans="1:178" ht="64.400000000000006" customHeight="1" x14ac:dyDescent="0.25">
      <c r="A203" s="29" t="s">
        <v>372</v>
      </c>
      <c r="B203" s="27" t="s">
        <v>59</v>
      </c>
      <c r="C203" s="19"/>
      <c r="D203" s="19"/>
      <c r="E203" s="19"/>
      <c r="F203" s="19"/>
      <c r="G203" s="74"/>
      <c r="H203" s="53"/>
      <c r="I203" s="53"/>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row>
    <row r="204" spans="1:178" ht="64.400000000000006" customHeight="1" x14ac:dyDescent="0.25">
      <c r="A204" s="29" t="s">
        <v>399</v>
      </c>
      <c r="B204" s="27" t="s">
        <v>64</v>
      </c>
      <c r="C204" s="17"/>
      <c r="D204" s="17"/>
      <c r="E204" s="17"/>
      <c r="F204" s="19"/>
      <c r="G204" s="74" t="str">
        <f>IF(C204="","",IF(C204="Yes","Please specify the algorithm used to encrypt data backups.","State any plans to encrypt data backups."))</f>
        <v/>
      </c>
      <c r="H204" s="53"/>
      <c r="I204" s="53"/>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row>
    <row r="205" spans="1:178" ht="64.400000000000006" customHeight="1" x14ac:dyDescent="0.25">
      <c r="A205" s="29" t="s">
        <v>400</v>
      </c>
      <c r="B205" s="27" t="s">
        <v>597</v>
      </c>
      <c r="C205" s="17"/>
      <c r="D205" s="17"/>
      <c r="E205" s="17"/>
      <c r="F205" s="19"/>
      <c r="G205" s="74"/>
      <c r="H205" s="53"/>
      <c r="I205" s="53"/>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row>
    <row r="206" spans="1:178" ht="64.400000000000006" customHeight="1" x14ac:dyDescent="0.25">
      <c r="A206" s="111" t="s">
        <v>171</v>
      </c>
      <c r="B206" s="111"/>
      <c r="C206" s="3" t="s">
        <v>638</v>
      </c>
      <c r="D206" s="3" t="s">
        <v>639</v>
      </c>
      <c r="E206" s="3" t="s">
        <v>110</v>
      </c>
      <c r="F206" s="3" t="s">
        <v>17</v>
      </c>
      <c r="G206" s="3" t="s">
        <v>18</v>
      </c>
      <c r="H206" s="3" t="s">
        <v>386</v>
      </c>
      <c r="I206" s="3" t="s">
        <v>412</v>
      </c>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row>
    <row r="207" spans="1:178" ht="64.400000000000006" customHeight="1" x14ac:dyDescent="0.25">
      <c r="A207" s="12" t="s">
        <v>236</v>
      </c>
      <c r="B207" s="5" t="s">
        <v>496</v>
      </c>
      <c r="C207" s="17"/>
      <c r="D207" s="17"/>
      <c r="E207" s="17"/>
      <c r="F207" s="19"/>
      <c r="G207" s="74" t="str">
        <f>IF(C207="","",IF(C207="Yes","Please describe your cyber incident response process, including when notification would be made to customers.","State plans to develop and implement a cyber incident response process."))</f>
        <v/>
      </c>
      <c r="H207" s="53">
        <v>25</v>
      </c>
      <c r="I207" s="53" t="s">
        <v>436</v>
      </c>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row>
    <row r="208" spans="1:178" ht="64.400000000000006" customHeight="1" x14ac:dyDescent="0.25">
      <c r="A208" s="12" t="s">
        <v>237</v>
      </c>
      <c r="B208" s="5" t="s">
        <v>391</v>
      </c>
      <c r="C208" s="17"/>
      <c r="D208" s="17"/>
      <c r="E208" s="17"/>
      <c r="F208" s="19"/>
      <c r="G208" s="74"/>
      <c r="H208" s="53">
        <v>28</v>
      </c>
      <c r="I208" s="53" t="s">
        <v>437</v>
      </c>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row>
    <row r="209" spans="1:178" ht="120.05" customHeight="1" x14ac:dyDescent="0.25">
      <c r="A209" s="12" t="s">
        <v>238</v>
      </c>
      <c r="B209" s="5" t="s">
        <v>392</v>
      </c>
      <c r="C209" s="17"/>
      <c r="D209" s="17"/>
      <c r="E209" s="17"/>
      <c r="F209" s="19"/>
      <c r="G209" s="74" t="s">
        <v>393</v>
      </c>
      <c r="H209" s="53">
        <v>36</v>
      </c>
      <c r="I209" s="53" t="s">
        <v>438</v>
      </c>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row>
    <row r="210" spans="1:178" ht="64.400000000000006" customHeight="1" x14ac:dyDescent="0.25">
      <c r="A210" s="12" t="s">
        <v>321</v>
      </c>
      <c r="B210" s="27" t="s">
        <v>598</v>
      </c>
      <c r="C210" s="17"/>
      <c r="D210" s="17"/>
      <c r="E210" s="17"/>
      <c r="F210" s="19"/>
      <c r="G210" s="74"/>
      <c r="H210" s="53" t="s">
        <v>497</v>
      </c>
      <c r="I210" s="53" t="s">
        <v>498</v>
      </c>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row>
    <row r="211" spans="1:178" ht="72" customHeight="1" x14ac:dyDescent="0.25">
      <c r="A211" s="12" t="s">
        <v>319</v>
      </c>
      <c r="B211" s="27" t="s">
        <v>310</v>
      </c>
      <c r="C211" s="30"/>
      <c r="D211" s="30"/>
      <c r="E211" s="30"/>
      <c r="F211" s="36"/>
      <c r="G211" s="74" t="str">
        <f>IF(C211="","",IF(C211="Yes","Please describe this process.","State plans to develop and implement such a process."))</f>
        <v/>
      </c>
      <c r="H211" s="53"/>
      <c r="I211" s="53" t="s">
        <v>439</v>
      </c>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row>
    <row r="212" spans="1:178" ht="64.400000000000006" customHeight="1" x14ac:dyDescent="0.25">
      <c r="A212" s="12" t="s">
        <v>320</v>
      </c>
      <c r="B212" s="27" t="s">
        <v>378</v>
      </c>
      <c r="C212" s="30"/>
      <c r="D212" s="30"/>
      <c r="E212" s="30"/>
      <c r="F212" s="36"/>
      <c r="G212" s="74" t="s">
        <v>441</v>
      </c>
      <c r="H212" s="53">
        <v>33</v>
      </c>
      <c r="I212" s="53" t="s">
        <v>443</v>
      </c>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row>
    <row r="213" spans="1:178" ht="64.400000000000006" customHeight="1" x14ac:dyDescent="0.25">
      <c r="A213" s="12" t="s">
        <v>323</v>
      </c>
      <c r="B213" s="27" t="s">
        <v>322</v>
      </c>
      <c r="C213" s="30"/>
      <c r="D213" s="30"/>
      <c r="E213" s="30"/>
      <c r="F213" s="36"/>
      <c r="G213" s="74" t="s">
        <v>440</v>
      </c>
      <c r="H213" s="53" t="s">
        <v>444</v>
      </c>
      <c r="I213" s="53" t="s">
        <v>445</v>
      </c>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row>
    <row r="214" spans="1:178" ht="64.400000000000006" customHeight="1" x14ac:dyDescent="0.25">
      <c r="A214" s="12" t="s">
        <v>324</v>
      </c>
      <c r="B214" s="27" t="s">
        <v>499</v>
      </c>
      <c r="C214" s="30"/>
      <c r="D214" s="30"/>
      <c r="E214" s="30"/>
      <c r="F214" s="36"/>
      <c r="G214" s="74"/>
      <c r="H214" s="53">
        <v>32</v>
      </c>
      <c r="I214" s="53" t="s">
        <v>446</v>
      </c>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row>
    <row r="215" spans="1:178" ht="64.400000000000006" customHeight="1" x14ac:dyDescent="0.25">
      <c r="A215" s="12" t="s">
        <v>326</v>
      </c>
      <c r="B215" s="27" t="s">
        <v>599</v>
      </c>
      <c r="C215" s="30"/>
      <c r="D215" s="30"/>
      <c r="E215" s="30"/>
      <c r="F215" s="36"/>
      <c r="G215" s="74"/>
      <c r="H215" s="53">
        <v>27</v>
      </c>
      <c r="I215" s="53" t="s">
        <v>447</v>
      </c>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row>
    <row r="216" spans="1:178" ht="64.400000000000006" customHeight="1" x14ac:dyDescent="0.25">
      <c r="A216" s="12" t="s">
        <v>401</v>
      </c>
      <c r="B216" s="27" t="s">
        <v>325</v>
      </c>
      <c r="C216" s="30"/>
      <c r="D216" s="30"/>
      <c r="E216" s="30"/>
      <c r="F216" s="36"/>
      <c r="G216" s="74"/>
      <c r="H216" s="53">
        <v>29</v>
      </c>
      <c r="I216" s="53" t="s">
        <v>448</v>
      </c>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row>
    <row r="217" spans="1:178" ht="64.400000000000006" customHeight="1" x14ac:dyDescent="0.25">
      <c r="A217" s="12" t="s">
        <v>402</v>
      </c>
      <c r="B217" s="5" t="s">
        <v>275</v>
      </c>
      <c r="C217" s="17"/>
      <c r="D217" s="17"/>
      <c r="E217" s="17"/>
      <c r="F217" s="19"/>
      <c r="G217" s="74" t="str">
        <f>IF(C217="","",IF(C217="Yes","What type of system do you use (network-based, host-based, etc.)?","State plans to implement an intrustion detection/prevention system."))</f>
        <v/>
      </c>
      <c r="H217" s="53"/>
      <c r="I217" s="53"/>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row>
    <row r="218" spans="1:178" ht="64.400000000000006" customHeight="1" x14ac:dyDescent="0.25">
      <c r="A218" s="12" t="s">
        <v>403</v>
      </c>
      <c r="B218" s="5" t="s">
        <v>172</v>
      </c>
      <c r="C218" s="17"/>
      <c r="D218" s="17"/>
      <c r="E218" s="17"/>
      <c r="F218" s="19"/>
      <c r="G218" s="74"/>
      <c r="H218" s="53"/>
      <c r="I218" s="53"/>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row>
    <row r="219" spans="1:178" ht="54.85" x14ac:dyDescent="0.25">
      <c r="A219" s="111" t="s">
        <v>173</v>
      </c>
      <c r="B219" s="111"/>
      <c r="C219" s="3" t="s">
        <v>638</v>
      </c>
      <c r="D219" s="3" t="s">
        <v>639</v>
      </c>
      <c r="E219" s="3" t="s">
        <v>110</v>
      </c>
      <c r="F219" s="3" t="s">
        <v>17</v>
      </c>
      <c r="G219" s="4" t="s">
        <v>18</v>
      </c>
      <c r="H219" s="3" t="s">
        <v>386</v>
      </c>
      <c r="I219" s="3" t="s">
        <v>412</v>
      </c>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row>
    <row r="220" spans="1:178" ht="48.05" customHeight="1" x14ac:dyDescent="0.25">
      <c r="A220" s="12" t="s">
        <v>239</v>
      </c>
      <c r="B220" s="5" t="s">
        <v>600</v>
      </c>
      <c r="C220" s="17"/>
      <c r="D220" s="17"/>
      <c r="E220" s="17"/>
      <c r="F220" s="19"/>
      <c r="G220" s="74" t="s">
        <v>174</v>
      </c>
      <c r="H220" s="43"/>
      <c r="I220" s="43"/>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row>
    <row r="221" spans="1:178" ht="64.55" customHeight="1" x14ac:dyDescent="0.25">
      <c r="A221" s="12" t="s">
        <v>240</v>
      </c>
      <c r="B221" s="5" t="s">
        <v>76</v>
      </c>
      <c r="C221" s="19"/>
      <c r="D221" s="19"/>
      <c r="E221" s="19"/>
      <c r="F221" s="19"/>
      <c r="G221" s="74" t="s">
        <v>656</v>
      </c>
      <c r="H221" s="43"/>
      <c r="I221" s="43"/>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row>
    <row r="222" spans="1:178" ht="48.05" customHeight="1" x14ac:dyDescent="0.25">
      <c r="A222" s="12" t="s">
        <v>241</v>
      </c>
      <c r="B222" s="5" t="s">
        <v>108</v>
      </c>
      <c r="C222" s="17"/>
      <c r="D222" s="17"/>
      <c r="E222" s="17"/>
      <c r="F222" s="20"/>
      <c r="G222" s="74" t="str">
        <f>IF(C222="","",IF(C222="Yes","State the application title as listed within the trusted source.","Decribe how the application is distributed. Also, state any plans to publish the app to a trusted source."))</f>
        <v/>
      </c>
      <c r="H222" s="43"/>
      <c r="I222" s="43"/>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row>
    <row r="223" spans="1:178" ht="48.05" customHeight="1" x14ac:dyDescent="0.25">
      <c r="A223" s="12" t="s">
        <v>242</v>
      </c>
      <c r="B223" s="5" t="s">
        <v>175</v>
      </c>
      <c r="C223" s="17"/>
      <c r="D223" s="17"/>
      <c r="E223" s="17"/>
      <c r="F223" s="20"/>
      <c r="G223" s="74" t="str">
        <f>IF(C223="","",IF(C223="Yes","Provide a detailed summary for your response.",""))</f>
        <v/>
      </c>
      <c r="H223" s="43"/>
      <c r="I223" s="43"/>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row>
    <row r="224" spans="1:178" ht="57.75" customHeight="1" x14ac:dyDescent="0.25">
      <c r="A224" s="12" t="s">
        <v>243</v>
      </c>
      <c r="B224" s="5" t="s">
        <v>136</v>
      </c>
      <c r="C224" s="17"/>
      <c r="D224" s="17"/>
      <c r="E224" s="17"/>
      <c r="F224" s="20"/>
      <c r="G224" s="74" t="str">
        <f>IF(C224="","",IF(C224="Yes","Provide a detailed description of what data will be stored and in which location(s), as well as why storing this data in this/these location(s) is necessary.",""))</f>
        <v/>
      </c>
      <c r="H224" s="43"/>
      <c r="I224" s="43"/>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row>
    <row r="225" spans="1:178" ht="48.05" customHeight="1" x14ac:dyDescent="0.25">
      <c r="A225" s="12" t="s">
        <v>244</v>
      </c>
      <c r="B225" s="5" t="s">
        <v>601</v>
      </c>
      <c r="C225" s="17"/>
      <c r="D225" s="17"/>
      <c r="E225" s="17"/>
      <c r="F225" s="20"/>
      <c r="G225" s="74" t="str">
        <f>IF(C225="","",IF(C225="Yes","Summarize your MDM capabilities.","State any plans to implement a MDM platform in your environment."))</f>
        <v/>
      </c>
      <c r="H225" s="43"/>
      <c r="I225" s="43"/>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row>
    <row r="226" spans="1:178" ht="48.05" customHeight="1" x14ac:dyDescent="0.25">
      <c r="A226" s="12" t="s">
        <v>245</v>
      </c>
      <c r="B226" s="5" t="s">
        <v>137</v>
      </c>
      <c r="C226" s="17"/>
      <c r="D226" s="17"/>
      <c r="E226" s="17"/>
      <c r="F226" s="20"/>
      <c r="G226" s="74" t="str">
        <f>IF(C226="","",IF(C226="Yes","State any capabilities and plans to detect and prevent the use of jailbroken devices.","Please provide an explanation on how this is enforced."))</f>
        <v/>
      </c>
      <c r="H226" s="43"/>
      <c r="I226" s="43"/>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row>
    <row r="227" spans="1:178" ht="48.05" customHeight="1" x14ac:dyDescent="0.25">
      <c r="A227" s="12" t="s">
        <v>246</v>
      </c>
      <c r="B227" s="5" t="s">
        <v>602</v>
      </c>
      <c r="C227" s="17"/>
      <c r="D227" s="17"/>
      <c r="E227" s="17"/>
      <c r="F227" s="20"/>
      <c r="G227" s="74" t="str">
        <f>IF(C227="","",IF(C227="Yes","Describe how data is encrypted in transport. (i.e. from system to app)","Summarize why data is not encrypted in transport. (i.e. from system to app)"))</f>
        <v/>
      </c>
      <c r="H227" s="43"/>
      <c r="I227" s="43"/>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row>
    <row r="228" spans="1:178" ht="48.05" customHeight="1" x14ac:dyDescent="0.25">
      <c r="A228" s="12" t="s">
        <v>247</v>
      </c>
      <c r="B228" s="5" t="s">
        <v>603</v>
      </c>
      <c r="C228" s="17"/>
      <c r="D228" s="17"/>
      <c r="E228" s="17"/>
      <c r="F228" s="20"/>
      <c r="G228" s="74" t="str">
        <f>IF(C228="","",IF(C228="Yes","Describe how data is encrypted in storage (i.e. at-rest within the app).","Summarize why data is not encrypted in storage (i.e. at-rest within the app)"))</f>
        <v/>
      </c>
      <c r="H228" s="43"/>
      <c r="I228" s="43"/>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row>
    <row r="229" spans="1:178" ht="67.599999999999994" customHeight="1" x14ac:dyDescent="0.25">
      <c r="A229" s="12" t="s">
        <v>248</v>
      </c>
      <c r="B229" s="5" t="s">
        <v>176</v>
      </c>
      <c r="C229" s="17"/>
      <c r="D229" s="17"/>
      <c r="E229" s="17"/>
      <c r="F229" s="20"/>
      <c r="G229" s="74" t="str">
        <f>IF(C229="","",IF(C229="Yes","Please provide additional information on the methodology used for the vulnerability testing and indicate if the testing was internal or external.","Please state any plans to perform vulnerability testing on the application."))</f>
        <v/>
      </c>
      <c r="H229" s="43"/>
      <c r="I229" s="43"/>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row>
    <row r="230" spans="1:178" ht="64.400000000000006" customHeight="1" x14ac:dyDescent="0.25">
      <c r="A230" s="111" t="s">
        <v>177</v>
      </c>
      <c r="B230" s="111"/>
      <c r="C230" s="3" t="s">
        <v>638</v>
      </c>
      <c r="D230" s="3" t="s">
        <v>639</v>
      </c>
      <c r="E230" s="3" t="s">
        <v>110</v>
      </c>
      <c r="F230" s="3" t="s">
        <v>17</v>
      </c>
      <c r="G230" s="4" t="s">
        <v>18</v>
      </c>
      <c r="H230" s="3" t="s">
        <v>386</v>
      </c>
      <c r="I230" s="3" t="s">
        <v>412</v>
      </c>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row>
    <row r="231" spans="1:178" ht="64.400000000000006" customHeight="1" x14ac:dyDescent="0.25">
      <c r="A231" s="12" t="s">
        <v>249</v>
      </c>
      <c r="B231" s="5" t="s">
        <v>77</v>
      </c>
      <c r="C231" s="17"/>
      <c r="D231" s="17"/>
      <c r="E231" s="17"/>
      <c r="F231" s="20"/>
      <c r="G231" s="76" t="str">
        <f>IF(C231="","",IF(C231="Yes","Provide a copy of your physical security controls and policies along with this document (link or attached).","Describe your intent to implement physical security controls and policies."))</f>
        <v/>
      </c>
      <c r="H231" s="53"/>
      <c r="I231" s="53"/>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row>
    <row r="232" spans="1:178" ht="64.400000000000006" customHeight="1" x14ac:dyDescent="0.25">
      <c r="A232" s="12" t="s">
        <v>250</v>
      </c>
      <c r="B232" s="27" t="s">
        <v>138</v>
      </c>
      <c r="C232" s="32"/>
      <c r="D232" s="32"/>
      <c r="E232" s="32"/>
      <c r="F232" s="28"/>
      <c r="G232" s="74" t="str">
        <f>IF(C232="","",IF(C232="Yes","List open source code or freeware/shareware utilized, including frameworks. Describe how you verify integrity and maintain this code, including monitoring for vulnerabilities and deploying patches.",""))</f>
        <v/>
      </c>
      <c r="H232" s="53"/>
      <c r="I232" s="53"/>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row>
    <row r="233" spans="1:178" ht="64.400000000000006" customHeight="1" x14ac:dyDescent="0.25">
      <c r="A233" s="12" t="s">
        <v>251</v>
      </c>
      <c r="B233" s="27" t="s">
        <v>295</v>
      </c>
      <c r="C233" s="32"/>
      <c r="D233" s="32"/>
      <c r="E233" s="32"/>
      <c r="F233" s="28"/>
      <c r="G233" s="74" t="str">
        <f>IF(C233="","",IF(C233="Yes","Please describe in appropriate detail.","Please describe how you ensure security of products during electronic transport."))</f>
        <v/>
      </c>
      <c r="H233" s="53">
        <v>60</v>
      </c>
      <c r="I233" s="53" t="s">
        <v>459</v>
      </c>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row>
    <row r="234" spans="1:178" ht="64.400000000000006" customHeight="1" x14ac:dyDescent="0.25">
      <c r="A234" s="12" t="s">
        <v>252</v>
      </c>
      <c r="B234" s="27" t="s">
        <v>604</v>
      </c>
      <c r="C234" s="32"/>
      <c r="D234" s="32"/>
      <c r="E234" s="32"/>
      <c r="F234" s="28"/>
      <c r="G234" s="74" t="str">
        <f>IF(C234="","",IF(C234="Yes","Please describe how this is accomplished.",""))</f>
        <v/>
      </c>
      <c r="H234" s="53"/>
      <c r="I234" s="53" t="s">
        <v>460</v>
      </c>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row>
    <row r="235" spans="1:178" ht="64.400000000000006" customHeight="1" x14ac:dyDescent="0.25">
      <c r="A235" s="12" t="s">
        <v>253</v>
      </c>
      <c r="B235" s="27" t="s">
        <v>379</v>
      </c>
      <c r="C235" s="32"/>
      <c r="D235" s="32"/>
      <c r="E235" s="32"/>
      <c r="F235" s="28"/>
      <c r="G235" s="74"/>
      <c r="H235" s="53" t="s">
        <v>493</v>
      </c>
      <c r="I235" s="53" t="s">
        <v>461</v>
      </c>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row>
    <row r="236" spans="1:178" ht="64.400000000000006" customHeight="1" x14ac:dyDescent="0.25">
      <c r="A236" s="12" t="s">
        <v>254</v>
      </c>
      <c r="B236" s="27" t="s">
        <v>605</v>
      </c>
      <c r="C236" s="32"/>
      <c r="D236" s="32"/>
      <c r="E236" s="32"/>
      <c r="F236" s="28"/>
      <c r="G236" s="74"/>
      <c r="H236" s="53">
        <v>51</v>
      </c>
      <c r="I236" s="53" t="s">
        <v>462</v>
      </c>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row>
    <row r="237" spans="1:178" ht="64.400000000000006" customHeight="1" x14ac:dyDescent="0.25">
      <c r="A237" s="12" t="s">
        <v>255</v>
      </c>
      <c r="B237" s="27" t="s">
        <v>316</v>
      </c>
      <c r="C237" s="32"/>
      <c r="D237" s="32"/>
      <c r="E237" s="32"/>
      <c r="F237" s="28"/>
      <c r="G237" s="74"/>
      <c r="H237" s="53"/>
      <c r="I237" s="53"/>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row>
    <row r="238" spans="1:178" ht="64.400000000000006" customHeight="1" x14ac:dyDescent="0.25">
      <c r="A238" s="12" t="s">
        <v>256</v>
      </c>
      <c r="B238" s="27" t="s">
        <v>538</v>
      </c>
      <c r="C238" s="32"/>
      <c r="D238" s="32"/>
      <c r="E238" s="32"/>
      <c r="F238" s="28"/>
      <c r="G238" s="74"/>
      <c r="H238" s="53">
        <v>37</v>
      </c>
      <c r="I238" s="53" t="s">
        <v>463</v>
      </c>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row>
    <row r="239" spans="1:178" ht="64.400000000000006" customHeight="1" x14ac:dyDescent="0.25">
      <c r="A239" s="12" t="s">
        <v>257</v>
      </c>
      <c r="B239" s="27" t="s">
        <v>606</v>
      </c>
      <c r="C239" s="32"/>
      <c r="D239" s="32"/>
      <c r="E239" s="32"/>
      <c r="F239" s="28"/>
      <c r="G239" s="74" t="str">
        <f>IF(C239="","",IF(C239="Yes","Please describe this program.","Please describe how this is accomplished in absence of formal process or program."))</f>
        <v/>
      </c>
      <c r="H239" s="53">
        <v>49</v>
      </c>
      <c r="I239" s="53" t="s">
        <v>464</v>
      </c>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row>
    <row r="240" spans="1:178" ht="64.400000000000006" customHeight="1" x14ac:dyDescent="0.25">
      <c r="A240" s="12" t="s">
        <v>258</v>
      </c>
      <c r="B240" s="27" t="s">
        <v>342</v>
      </c>
      <c r="C240" s="32"/>
      <c r="D240" s="32"/>
      <c r="E240" s="32"/>
      <c r="F240" s="28"/>
      <c r="G240" s="74"/>
      <c r="H240" s="53">
        <v>53</v>
      </c>
      <c r="I240" s="53" t="s">
        <v>465</v>
      </c>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row>
    <row r="241" spans="1:178" ht="64.400000000000006" customHeight="1" x14ac:dyDescent="0.25">
      <c r="A241" s="12" t="s">
        <v>259</v>
      </c>
      <c r="B241" s="27" t="s">
        <v>607</v>
      </c>
      <c r="C241" s="32"/>
      <c r="D241" s="32"/>
      <c r="E241" s="32"/>
      <c r="F241" s="28"/>
      <c r="G241" s="74"/>
      <c r="H241" s="53"/>
      <c r="I241" s="53" t="s">
        <v>466</v>
      </c>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row>
    <row r="242" spans="1:178" ht="64.400000000000006" customHeight="1" x14ac:dyDescent="0.25">
      <c r="A242" s="12" t="s">
        <v>260</v>
      </c>
      <c r="B242" s="27" t="s">
        <v>608</v>
      </c>
      <c r="C242" s="32"/>
      <c r="D242" s="32"/>
      <c r="E242" s="32"/>
      <c r="F242" s="28"/>
      <c r="G242" s="74"/>
      <c r="H242" s="53"/>
      <c r="I242" s="53" t="s">
        <v>467</v>
      </c>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row>
    <row r="243" spans="1:178" ht="64.400000000000006" customHeight="1" x14ac:dyDescent="0.25">
      <c r="A243" s="12" t="s">
        <v>261</v>
      </c>
      <c r="B243" s="27" t="s">
        <v>539</v>
      </c>
      <c r="C243" s="48"/>
      <c r="D243" s="48"/>
      <c r="E243" s="48"/>
      <c r="F243" s="49"/>
      <c r="G243" s="74" t="str">
        <f>IF(C243="","",IF(C243="Yes","Please describe these controls.",""))</f>
        <v/>
      </c>
      <c r="H243" s="53">
        <v>16</v>
      </c>
      <c r="I243" s="53" t="s">
        <v>458</v>
      </c>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row>
    <row r="244" spans="1:178" ht="64.400000000000006" customHeight="1" x14ac:dyDescent="0.25">
      <c r="A244" s="12" t="s">
        <v>262</v>
      </c>
      <c r="B244" s="27" t="s">
        <v>387</v>
      </c>
      <c r="C244" s="32"/>
      <c r="D244" s="32"/>
      <c r="E244" s="32"/>
      <c r="F244" s="28"/>
      <c r="G244" s="74"/>
      <c r="H244" s="53"/>
      <c r="I244" s="53"/>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row>
    <row r="245" spans="1:178" ht="64.400000000000006" customHeight="1" x14ac:dyDescent="0.25">
      <c r="A245" s="12" t="s">
        <v>272</v>
      </c>
      <c r="B245" s="5" t="s">
        <v>147</v>
      </c>
      <c r="C245" s="32"/>
      <c r="D245" s="32"/>
      <c r="E245" s="32"/>
      <c r="F245" s="28"/>
      <c r="G245" s="74" t="str">
        <f>IF(C245="","",IF(C245="Yes","Please describe how the antivirus is maintained and kept up-to-date.","Please describe any plans to install antivirus on all end nodes."))</f>
        <v/>
      </c>
      <c r="H245" s="53"/>
      <c r="I245" s="53"/>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row>
    <row r="246" spans="1:178" ht="64.400000000000006" customHeight="1" x14ac:dyDescent="0.25">
      <c r="A246" s="12" t="s">
        <v>294</v>
      </c>
      <c r="B246" s="5" t="s">
        <v>178</v>
      </c>
      <c r="C246" s="17"/>
      <c r="D246" s="17"/>
      <c r="E246" s="17"/>
      <c r="F246" s="20"/>
      <c r="G246" s="74" t="str">
        <f>IF(C246="","",IF(C246="Yes","Please describe your endpoint protection strategy.","Please describe your endpoint protection strategy."))</f>
        <v/>
      </c>
      <c r="H246" s="53"/>
      <c r="I246" s="53"/>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row>
    <row r="247" spans="1:178" ht="64.400000000000006" customHeight="1" x14ac:dyDescent="0.25">
      <c r="A247" s="12" t="s">
        <v>297</v>
      </c>
      <c r="B247" s="5" t="s">
        <v>143</v>
      </c>
      <c r="C247" s="17"/>
      <c r="D247" s="17"/>
      <c r="E247" s="17"/>
      <c r="F247" s="20"/>
      <c r="G247" s="76" t="str">
        <f>IF(C247="","",IF(C247="Yes","Describe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47" s="53"/>
      <c r="I247" s="53"/>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row>
    <row r="248" spans="1:178" ht="64.400000000000006" customHeight="1" x14ac:dyDescent="0.25">
      <c r="A248" s="12" t="s">
        <v>301</v>
      </c>
      <c r="B248" s="6" t="s">
        <v>154</v>
      </c>
      <c r="C248" s="17"/>
      <c r="D248" s="17"/>
      <c r="E248" s="17"/>
      <c r="F248" s="20"/>
      <c r="G248" s="76" t="str">
        <f>IF(C248="","",IF(C248="Yes","Please provide a copy of the most recent audit.","State any plans to have a SOC 2 Type II audit conducted."))</f>
        <v/>
      </c>
      <c r="H248" s="53"/>
      <c r="I248" s="53"/>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row>
    <row r="249" spans="1:178" ht="64.400000000000006" customHeight="1" x14ac:dyDescent="0.25">
      <c r="A249" s="12" t="s">
        <v>302</v>
      </c>
      <c r="B249" s="6" t="s">
        <v>609</v>
      </c>
      <c r="C249" s="17"/>
      <c r="D249" s="17"/>
      <c r="E249" s="17"/>
      <c r="F249" s="20"/>
      <c r="G249" s="76" t="str">
        <f>IF(C249="","",IF(C249="Yes","Please provide any currently effective certifications.","State any plans to obtain such compliance certifications."))</f>
        <v/>
      </c>
      <c r="H249" s="53"/>
      <c r="I249" s="53"/>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row>
    <row r="250" spans="1:178" ht="59.85" x14ac:dyDescent="0.25">
      <c r="A250" s="12" t="s">
        <v>315</v>
      </c>
      <c r="B250" s="6" t="s">
        <v>276</v>
      </c>
      <c r="C250" s="17"/>
      <c r="D250" s="17"/>
      <c r="E250" s="17"/>
      <c r="F250" s="20"/>
      <c r="G250" s="74"/>
      <c r="H250" s="53"/>
      <c r="I250" s="53"/>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row>
    <row r="251" spans="1:178" ht="64.400000000000006" customHeight="1" x14ac:dyDescent="0.25">
      <c r="A251" s="12" t="s">
        <v>327</v>
      </c>
      <c r="B251" s="5" t="s">
        <v>610</v>
      </c>
      <c r="C251" s="17"/>
      <c r="D251" s="17"/>
      <c r="E251" s="17"/>
      <c r="F251" s="20"/>
      <c r="G251" s="74" t="str">
        <f>IF(C251="","",IF(C251="Yes","Provide a detailed summary outlining the security controls implemented to protect the Utility's data.",""))</f>
        <v/>
      </c>
      <c r="H251" s="53"/>
      <c r="I251" s="53"/>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row>
    <row r="252" spans="1:178" ht="64.400000000000006" customHeight="1" x14ac:dyDescent="0.25">
      <c r="A252" s="12" t="s">
        <v>337</v>
      </c>
      <c r="B252" s="5" t="s">
        <v>78</v>
      </c>
      <c r="C252" s="17"/>
      <c r="D252" s="17"/>
      <c r="E252" s="17"/>
      <c r="F252" s="20"/>
      <c r="G252" s="74" t="str">
        <f>IF(C252="","",IF(C252="Yes","State the retention period for security video.","State your plans to retain video monitoring feeds."))</f>
        <v/>
      </c>
      <c r="H252" s="53"/>
      <c r="I252" s="53"/>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row>
    <row r="253" spans="1:178" ht="64.400000000000006" customHeight="1" x14ac:dyDescent="0.25">
      <c r="A253" s="12" t="s">
        <v>341</v>
      </c>
      <c r="B253" s="5" t="s">
        <v>79</v>
      </c>
      <c r="C253" s="17"/>
      <c r="D253" s="17"/>
      <c r="E253" s="17"/>
      <c r="F253" s="20"/>
      <c r="G253" s="74" t="str">
        <f>IF(C253="","",IF(C253="Yes","Summarize your video monitoring strategy for datacenter staff.","Describe plans to have video feed(s) monitored."))</f>
        <v/>
      </c>
      <c r="H253" s="53"/>
      <c r="I253" s="53"/>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row>
    <row r="254" spans="1:178" ht="64.400000000000006" customHeight="1" x14ac:dyDescent="0.25">
      <c r="A254" s="12" t="s">
        <v>343</v>
      </c>
      <c r="B254" s="5" t="s">
        <v>80</v>
      </c>
      <c r="C254" s="17"/>
      <c r="D254" s="17"/>
      <c r="E254" s="17"/>
      <c r="F254" s="20"/>
      <c r="G254" s="74" t="str">
        <f>IF(C254="","",IF(C254="Yes","Summarize your process and procedure for the installation and removal of equipment to/from your environment.","Provide a brief summary for your response."))</f>
        <v/>
      </c>
      <c r="H254" s="53"/>
      <c r="I254" s="53"/>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row>
    <row r="255" spans="1:178" ht="64.400000000000006" customHeight="1" x14ac:dyDescent="0.25">
      <c r="A255" s="12" t="s">
        <v>354</v>
      </c>
      <c r="B255" s="5" t="s">
        <v>540</v>
      </c>
      <c r="C255" s="17"/>
      <c r="D255" s="17"/>
      <c r="E255" s="17"/>
      <c r="F255" s="20"/>
      <c r="G255" s="73" t="str">
        <f>IF(C255="","",IF(C255="Yes","Describe all operating systems that are not currently supported, why they still need to be used (i.e. why they cannot be updated), and methods utilized to secure and maintain them.",""))</f>
        <v/>
      </c>
      <c r="H255" s="53"/>
      <c r="I255" s="53"/>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row>
    <row r="256" spans="1:178" ht="64.400000000000006" customHeight="1" x14ac:dyDescent="0.25">
      <c r="A256" s="12" t="s">
        <v>358</v>
      </c>
      <c r="B256" s="5" t="s">
        <v>611</v>
      </c>
      <c r="C256" s="17"/>
      <c r="D256" s="17"/>
      <c r="E256" s="17"/>
      <c r="F256" s="20"/>
      <c r="G256" s="73" t="str">
        <f>IF(C256="","",IF(C256="Yes","Detail all web browsers that are not currently supported, why they still need to be used (i.e. why they cannot be updated), and methods utilized to secure and maintain them.",""))</f>
        <v/>
      </c>
      <c r="H256" s="53"/>
      <c r="I256" s="53"/>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row>
    <row r="257" spans="1:178" ht="64.400000000000006" customHeight="1" x14ac:dyDescent="0.25">
      <c r="A257" s="12" t="s">
        <v>389</v>
      </c>
      <c r="B257" s="5" t="s">
        <v>84</v>
      </c>
      <c r="C257" s="17"/>
      <c r="D257" s="17"/>
      <c r="E257" s="17"/>
      <c r="F257" s="20"/>
      <c r="G257" s="74" t="str">
        <f>IF(C257="","",IF(C257="Yes","Summarize the information security principles designed into the product lifecycle and how they are integrated.","Describe why security principles are not designed into the product lifecycle."))</f>
        <v/>
      </c>
      <c r="H257" s="53"/>
      <c r="I257" s="53"/>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row>
    <row r="258" spans="1:178" ht="54.85" x14ac:dyDescent="0.25">
      <c r="A258" s="111" t="s">
        <v>163</v>
      </c>
      <c r="B258" s="111"/>
      <c r="C258" s="3" t="s">
        <v>638</v>
      </c>
      <c r="D258" s="3" t="s">
        <v>639</v>
      </c>
      <c r="E258" s="3" t="s">
        <v>110</v>
      </c>
      <c r="F258" s="3" t="s">
        <v>17</v>
      </c>
      <c r="G258" s="4" t="s">
        <v>18</v>
      </c>
      <c r="H258" s="3" t="s">
        <v>386</v>
      </c>
      <c r="I258" s="3" t="s">
        <v>412</v>
      </c>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row>
    <row r="259" spans="1:178" ht="48.05" customHeight="1" x14ac:dyDescent="0.25">
      <c r="A259" s="12" t="s">
        <v>87</v>
      </c>
      <c r="B259" s="27" t="s">
        <v>385</v>
      </c>
      <c r="C259" s="17"/>
      <c r="D259" s="17"/>
      <c r="E259" s="17"/>
      <c r="F259" s="20"/>
      <c r="G259" s="74" t="str">
        <f>IF(C259="","",IF(C259="Yes","Describe your external application vulnerability scanning strategy and provide when the last assessment was performed","Describe any plans to implement external vulnerability scanning for your applications."))</f>
        <v/>
      </c>
      <c r="H259" s="53"/>
      <c r="I259" s="53"/>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row>
    <row r="260" spans="1:178" ht="65.099999999999994" customHeight="1" x14ac:dyDescent="0.25">
      <c r="A260" s="12" t="s">
        <v>88</v>
      </c>
      <c r="B260" s="5" t="s">
        <v>90</v>
      </c>
      <c r="C260" s="17"/>
      <c r="D260" s="17"/>
      <c r="E260" s="17"/>
      <c r="F260" s="20"/>
      <c r="G260" s="74" t="str">
        <f>IF(C260="","",IF(C260="Yes","Summarize your vulnerability scanning strategy.","Describe plans to implement application vulnerability scanning prior to release."))</f>
        <v/>
      </c>
      <c r="H260" s="53"/>
      <c r="I260" s="53"/>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row>
    <row r="261" spans="1:178" ht="75.05" customHeight="1" x14ac:dyDescent="0.25">
      <c r="A261" s="12" t="s">
        <v>89</v>
      </c>
      <c r="B261" s="5" t="s">
        <v>82</v>
      </c>
      <c r="C261" s="17"/>
      <c r="D261" s="17"/>
      <c r="E261" s="17"/>
      <c r="F261" s="20"/>
      <c r="G261" s="77" t="str">
        <f>IF(C261="","",IF(C261="Yes","Provide a list of all tools utilized during static code analysis or static application security testing.","State your plans to implement static code testing practices into your environment."))</f>
        <v/>
      </c>
      <c r="H261" s="53"/>
      <c r="I261" s="53"/>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row>
    <row r="262" spans="1:178" ht="75.05" customHeight="1" x14ac:dyDescent="0.25">
      <c r="A262" s="12" t="s">
        <v>91</v>
      </c>
      <c r="B262" s="5" t="s">
        <v>612</v>
      </c>
      <c r="C262" s="17"/>
      <c r="D262" s="17"/>
      <c r="E262" s="17"/>
      <c r="F262" s="20"/>
      <c r="G262" s="77" t="str">
        <f>IF(C262="","",IF(C262="Yes","Please link or attach a copy you are willing to share.",""))</f>
        <v/>
      </c>
      <c r="H262" s="53"/>
      <c r="I262" s="53"/>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row>
    <row r="263" spans="1:178" ht="91.15" customHeight="1" x14ac:dyDescent="0.25">
      <c r="A263" s="12" t="s">
        <v>92</v>
      </c>
      <c r="B263" s="27" t="s">
        <v>613</v>
      </c>
      <c r="C263" s="32"/>
      <c r="D263" s="32"/>
      <c r="E263" s="32"/>
      <c r="F263" s="28"/>
      <c r="G263" s="74"/>
      <c r="H263" s="53"/>
      <c r="I263" s="53" t="s">
        <v>466</v>
      </c>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row>
    <row r="264" spans="1:178" ht="91.15" customHeight="1" x14ac:dyDescent="0.25">
      <c r="A264" s="12" t="s">
        <v>93</v>
      </c>
      <c r="B264" s="27" t="s">
        <v>614</v>
      </c>
      <c r="C264" s="32"/>
      <c r="D264" s="32"/>
      <c r="E264" s="32"/>
      <c r="F264" s="28"/>
      <c r="G264" s="73" t="str">
        <f>IF(C264="","",IF(C264="Yes","Please descibe in adequate detail, including timeframe for notification.",""))</f>
        <v/>
      </c>
      <c r="H264" s="53">
        <v>57</v>
      </c>
      <c r="I264" s="53" t="s">
        <v>479</v>
      </c>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row>
    <row r="265" spans="1:178" ht="91.15" customHeight="1" x14ac:dyDescent="0.25">
      <c r="A265" s="12" t="s">
        <v>94</v>
      </c>
      <c r="B265" s="27" t="s">
        <v>380</v>
      </c>
      <c r="C265" s="32"/>
      <c r="D265" s="32"/>
      <c r="E265" s="32"/>
      <c r="F265" s="28"/>
      <c r="G265" s="73"/>
      <c r="H265" s="53"/>
      <c r="I265" s="53"/>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row>
    <row r="266" spans="1:178" ht="91.15" customHeight="1" x14ac:dyDescent="0.25">
      <c r="A266" s="12" t="s">
        <v>95</v>
      </c>
      <c r="B266" s="27" t="s">
        <v>357</v>
      </c>
      <c r="C266" s="32"/>
      <c r="D266" s="32"/>
      <c r="E266" s="32"/>
      <c r="F266" s="28"/>
      <c r="G266" s="73"/>
      <c r="H266" s="53"/>
      <c r="I266" s="53"/>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row>
    <row r="267" spans="1:178" ht="48.05" customHeight="1" x14ac:dyDescent="0.25">
      <c r="A267" s="12" t="s">
        <v>263</v>
      </c>
      <c r="B267" s="5" t="s">
        <v>123</v>
      </c>
      <c r="C267" s="17"/>
      <c r="D267" s="17"/>
      <c r="E267" s="17"/>
      <c r="F267" s="20"/>
      <c r="G267" s="74" t="str">
        <f>IF(C267="","",IF(C267="Yes","State the date of your most recent external application assessment.","Describe any plans to have application external assessment(s) performed on your systems."))</f>
        <v/>
      </c>
      <c r="H267" s="53"/>
      <c r="I267" s="53"/>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row>
    <row r="268" spans="1:178" ht="49.3" customHeight="1" x14ac:dyDescent="0.25">
      <c r="A268" s="12" t="s">
        <v>264</v>
      </c>
      <c r="B268" s="5" t="s">
        <v>124</v>
      </c>
      <c r="C268" s="17"/>
      <c r="D268" s="17"/>
      <c r="E268" s="17"/>
      <c r="F268" s="20"/>
      <c r="G268" s="74" t="str">
        <f>IF(C268="","",IF(C268="Yes","Decribe your external system vulnerability scanning strategy, including the frequency of both types of scans.","Describe any plans to implement vulnerability scanning for your systems."))</f>
        <v/>
      </c>
      <c r="H268" s="53" t="s">
        <v>494</v>
      </c>
      <c r="I268" s="53" t="s">
        <v>461</v>
      </c>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row>
    <row r="269" spans="1:178" ht="48.05" customHeight="1" x14ac:dyDescent="0.25">
      <c r="A269" s="12" t="s">
        <v>265</v>
      </c>
      <c r="B269" s="5" t="s">
        <v>125</v>
      </c>
      <c r="C269" s="17"/>
      <c r="D269" s="17"/>
      <c r="E269" s="17"/>
      <c r="F269" s="20"/>
      <c r="G269" s="74" t="str">
        <f>IF(C269="","",IF(C269="Yes","State the date of your most recent system external assessment.","Describe any plans to have system external assessment(s) performed on your systems."))</f>
        <v/>
      </c>
      <c r="H269" s="53"/>
      <c r="I269" s="53"/>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row>
    <row r="270" spans="1:178" ht="65.099999999999994" customHeight="1" x14ac:dyDescent="0.25">
      <c r="A270" s="12" t="s">
        <v>266</v>
      </c>
      <c r="B270" s="5" t="s">
        <v>99</v>
      </c>
      <c r="C270" s="19"/>
      <c r="D270" s="19"/>
      <c r="E270" s="19"/>
      <c r="F270" s="19"/>
      <c r="G270" s="74" t="s">
        <v>657</v>
      </c>
      <c r="H270" s="53"/>
      <c r="I270" s="53"/>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row>
    <row r="271" spans="1:178" ht="48.05" customHeight="1" x14ac:dyDescent="0.25">
      <c r="A271" s="12" t="s">
        <v>267</v>
      </c>
      <c r="B271" s="5" t="s">
        <v>615</v>
      </c>
      <c r="C271" s="17"/>
      <c r="D271" s="17"/>
      <c r="E271" s="17"/>
      <c r="F271" s="20"/>
      <c r="G271" s="74" t="str">
        <f>IF(C271="","",IF(C271="Yes","Provide a reference to or attach security scan documentation.","Describe why security scan results will not be provided to the Utility."))</f>
        <v/>
      </c>
      <c r="H271" s="53"/>
      <c r="I271" s="53"/>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row>
    <row r="272" spans="1:178" ht="54" customHeight="1" x14ac:dyDescent="0.25">
      <c r="A272" s="12" t="s">
        <v>268</v>
      </c>
      <c r="B272" s="5" t="s">
        <v>616</v>
      </c>
      <c r="C272" s="17"/>
      <c r="D272" s="17"/>
      <c r="E272" s="17"/>
      <c r="F272" s="20"/>
      <c r="G272" s="74" t="str">
        <f>IF(C272="","",IF(C272="Yes","Provide reference to the process or procedure to setup security testing times and scopes.","Provide a brief summary for your response."))</f>
        <v/>
      </c>
      <c r="H272" s="53"/>
      <c r="I272" s="53"/>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row>
    <row r="273" spans="1:178" ht="75.05" customHeight="1" x14ac:dyDescent="0.25">
      <c r="A273" s="12" t="s">
        <v>336</v>
      </c>
      <c r="B273" s="5" t="s">
        <v>83</v>
      </c>
      <c r="C273" s="17"/>
      <c r="D273" s="17"/>
      <c r="E273" s="17"/>
      <c r="F273" s="20"/>
      <c r="G273" s="77" t="str">
        <f>IF(C273="","",IF(C273="Yes","Describe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73" s="53"/>
      <c r="I273" s="53" t="s">
        <v>480</v>
      </c>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row>
    <row r="274" spans="1:178" ht="75.05" customHeight="1" x14ac:dyDescent="0.25">
      <c r="A274" s="12" t="s">
        <v>347</v>
      </c>
      <c r="B274" s="5" t="s">
        <v>85</v>
      </c>
      <c r="C274" s="17"/>
      <c r="D274" s="17"/>
      <c r="E274" s="17"/>
      <c r="F274" s="20"/>
      <c r="G274" s="77" t="str">
        <f>IF(C274="","",IF(C274="Yes","Describe or provide a reference to/attach your system development life cycle methodology including your environments, version control, and change management (if not already covered in the Change Management section).","Describe any plans to implement a documented SDLC."))</f>
        <v/>
      </c>
      <c r="H274" s="53"/>
      <c r="I274" s="53"/>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row>
    <row r="275" spans="1:178" ht="75.05" customHeight="1" x14ac:dyDescent="0.25">
      <c r="A275" s="12" t="s">
        <v>350</v>
      </c>
      <c r="B275" s="5" t="s">
        <v>109</v>
      </c>
      <c r="C275" s="17"/>
      <c r="D275" s="17"/>
      <c r="E275" s="17"/>
      <c r="F275" s="20"/>
      <c r="G275" s="77"/>
      <c r="H275" s="53"/>
      <c r="I275" s="53"/>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row>
    <row r="276" spans="1:178" ht="75.05" customHeight="1" x14ac:dyDescent="0.25">
      <c r="A276" s="12" t="s">
        <v>351</v>
      </c>
      <c r="B276" s="5" t="s">
        <v>146</v>
      </c>
      <c r="C276" s="17"/>
      <c r="D276" s="17"/>
      <c r="E276" s="17"/>
      <c r="F276" s="19"/>
      <c r="G276" s="73" t="str">
        <f>IF(C276="","",IF(C276="Yes","Please provide information on the pentetration testing (i.e., when was the test conducted, key findings, etc.).","Please detail any current plans to conduct third-party penetration testing."))</f>
        <v/>
      </c>
      <c r="H276" s="53"/>
      <c r="I276" s="53"/>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row>
    <row r="277" spans="1:178" ht="54.85" x14ac:dyDescent="0.25">
      <c r="A277" s="111" t="s">
        <v>149</v>
      </c>
      <c r="B277" s="111"/>
      <c r="C277" s="3" t="s">
        <v>638</v>
      </c>
      <c r="D277" s="3" t="s">
        <v>639</v>
      </c>
      <c r="E277" s="3" t="s">
        <v>110</v>
      </c>
      <c r="F277" s="3" t="s">
        <v>17</v>
      </c>
      <c r="G277" s="4" t="s">
        <v>18</v>
      </c>
      <c r="H277" s="3" t="s">
        <v>386</v>
      </c>
      <c r="I277" s="3" t="s">
        <v>412</v>
      </c>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row>
    <row r="278" spans="1:178" ht="45.7" customHeight="1" x14ac:dyDescent="0.3">
      <c r="A278" s="12" t="s">
        <v>150</v>
      </c>
      <c r="B278" s="5" t="s">
        <v>153</v>
      </c>
      <c r="C278" s="20"/>
      <c r="D278" s="20"/>
      <c r="E278" s="20"/>
      <c r="F278" s="20"/>
      <c r="G278" s="7"/>
      <c r="H278" s="41"/>
      <c r="I278" s="42"/>
    </row>
  </sheetData>
  <mergeCells count="67">
    <mergeCell ref="A181:B181"/>
    <mergeCell ref="C7:I7"/>
    <mergeCell ref="C12:I12"/>
    <mergeCell ref="C13:I13"/>
    <mergeCell ref="C14:I14"/>
    <mergeCell ref="C15:I15"/>
    <mergeCell ref="C63:F63"/>
    <mergeCell ref="A156:B156"/>
    <mergeCell ref="A141:B141"/>
    <mergeCell ref="A90:B90"/>
    <mergeCell ref="A121:B121"/>
    <mergeCell ref="C89:E89"/>
    <mergeCell ref="C115:F115"/>
    <mergeCell ref="A76:B76"/>
    <mergeCell ref="C80:F80"/>
    <mergeCell ref="C77:E77"/>
    <mergeCell ref="C2:I2"/>
    <mergeCell ref="A4:I4"/>
    <mergeCell ref="A3:I3"/>
    <mergeCell ref="A5:I5"/>
    <mergeCell ref="C6:I6"/>
    <mergeCell ref="A2:B2"/>
    <mergeCell ref="C88:E88"/>
    <mergeCell ref="C78:E78"/>
    <mergeCell ref="C85:E85"/>
    <mergeCell ref="C86:E86"/>
    <mergeCell ref="C79:E79"/>
    <mergeCell ref="C87:F87"/>
    <mergeCell ref="A1:F1"/>
    <mergeCell ref="A27:G27"/>
    <mergeCell ref="A277:B277"/>
    <mergeCell ref="C59:F59"/>
    <mergeCell ref="A258:B258"/>
    <mergeCell ref="A219:B219"/>
    <mergeCell ref="C61:F61"/>
    <mergeCell ref="C74:F74"/>
    <mergeCell ref="A206:B206"/>
    <mergeCell ref="C75:F75"/>
    <mergeCell ref="A60:B60"/>
    <mergeCell ref="A230:B230"/>
    <mergeCell ref="C71:E71"/>
    <mergeCell ref="C62:F62"/>
    <mergeCell ref="C48:F48"/>
    <mergeCell ref="A44:B44"/>
    <mergeCell ref="C25:I25"/>
    <mergeCell ref="A26:I26"/>
    <mergeCell ref="C40:I40"/>
    <mergeCell ref="C41:I41"/>
    <mergeCell ref="A43:I43"/>
    <mergeCell ref="A42:I42"/>
    <mergeCell ref="B39:G39"/>
    <mergeCell ref="C47:F47"/>
    <mergeCell ref="C8:I8"/>
    <mergeCell ref="C9:I9"/>
    <mergeCell ref="C10:I10"/>
    <mergeCell ref="C11:I11"/>
    <mergeCell ref="C17:I17"/>
    <mergeCell ref="C16:I16"/>
    <mergeCell ref="C18:I18"/>
    <mergeCell ref="C19:I19"/>
    <mergeCell ref="C22:I22"/>
    <mergeCell ref="C23:I23"/>
    <mergeCell ref="C20:I20"/>
    <mergeCell ref="C21:I21"/>
    <mergeCell ref="C46:F46"/>
    <mergeCell ref="C45:E45"/>
    <mergeCell ref="C24:I24"/>
  </mergeCells>
  <phoneticPr fontId="25" type="noConversion"/>
  <conditionalFormatting sqref="A78:F78 H78:I78 G187:G192">
    <cfRule type="expression" dxfId="17" priority="18">
      <formula>$C$51="Yes"</formula>
    </cfRule>
  </conditionalFormatting>
  <conditionalFormatting sqref="G53 G45">
    <cfRule type="expression" dxfId="16" priority="17">
      <formula>$C$51="Yes"</formula>
    </cfRule>
  </conditionalFormatting>
  <conditionalFormatting sqref="G63:G72 G61">
    <cfRule type="expression" dxfId="15" priority="16">
      <formula>$C$51="Yes"</formula>
    </cfRule>
  </conditionalFormatting>
  <conditionalFormatting sqref="G71 G63 G61 G73:G75">
    <cfRule type="expression" dxfId="14" priority="15">
      <formula>$C$48="No"</formula>
    </cfRule>
  </conditionalFormatting>
  <conditionalFormatting sqref="G77:G86">
    <cfRule type="expression" dxfId="13" priority="14">
      <formula>$C$51="Yes"</formula>
    </cfRule>
  </conditionalFormatting>
  <conditionalFormatting sqref="G100:G104 G94:G98 G92">
    <cfRule type="expression" dxfId="12" priority="13">
      <formula>$C$51="Yes"</formula>
    </cfRule>
  </conditionalFormatting>
  <conditionalFormatting sqref="G122:G123 G125:G132">
    <cfRule type="expression" dxfId="11" priority="12">
      <formula>$C$51="Yes"</formula>
    </cfRule>
  </conditionalFormatting>
  <conditionalFormatting sqref="G140">
    <cfRule type="expression" dxfId="10" priority="11">
      <formula>$C$46="No"</formula>
    </cfRule>
  </conditionalFormatting>
  <conditionalFormatting sqref="G123:G124 G133">
    <cfRule type="expression" dxfId="9" priority="10">
      <formula>$C$49="No"</formula>
    </cfRule>
  </conditionalFormatting>
  <conditionalFormatting sqref="G143:G145">
    <cfRule type="expression" dxfId="8" priority="9">
      <formula>$C$51="Yes"</formula>
    </cfRule>
  </conditionalFormatting>
  <conditionalFormatting sqref="G161 G157:G158">
    <cfRule type="expression" dxfId="7" priority="8">
      <formula>$C$51="Yes"</formula>
    </cfRule>
  </conditionalFormatting>
  <conditionalFormatting sqref="G172">
    <cfRule type="expression" dxfId="6" priority="7">
      <formula>$C$179="No"</formula>
    </cfRule>
  </conditionalFormatting>
  <conditionalFormatting sqref="G200 G182:G185">
    <cfRule type="expression" dxfId="5" priority="6">
      <formula>$C$51="Yes"</formula>
    </cfRule>
  </conditionalFormatting>
  <conditionalFormatting sqref="G201:G202 G197 G195 G190 G185">
    <cfRule type="expression" dxfId="4" priority="5">
      <formula>$C$50="No"</formula>
    </cfRule>
  </conditionalFormatting>
  <conditionalFormatting sqref="G207:G216">
    <cfRule type="expression" dxfId="3" priority="4">
      <formula>$C$51="Yes"</formula>
    </cfRule>
  </conditionalFormatting>
  <conditionalFormatting sqref="G220:G229">
    <cfRule type="expression" dxfId="2" priority="3">
      <formula>$C$47="No"</formula>
    </cfRule>
  </conditionalFormatting>
  <conditionalFormatting sqref="G238:G243 G233:G236">
    <cfRule type="expression" dxfId="1" priority="2">
      <formula>$C$51="Yes"</formula>
    </cfRule>
  </conditionalFormatting>
  <conditionalFormatting sqref="G273 G268 G263:G264">
    <cfRule type="expression" dxfId="0" priority="1">
      <formula>$C$51="Yes"</formula>
    </cfRule>
  </conditionalFormatting>
  <pageMargins left="0.75" right="0.75" top="1" bottom="1" header="0.5" footer="0.5"/>
  <pageSetup paperSize="5" scale="1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51" r:id="rId4" name="Check Box 27">
              <controlPr defaultSize="0" autoFill="0" autoLine="0" autoPict="0">
                <anchor moveWithCells="1">
                  <from>
                    <xdr:col>0</xdr:col>
                    <xdr:colOff>422031</xdr:colOff>
                    <xdr:row>26</xdr:row>
                    <xdr:rowOff>218049</xdr:rowOff>
                  </from>
                  <to>
                    <xdr:col>0</xdr:col>
                    <xdr:colOff>696351</xdr:colOff>
                    <xdr:row>28</xdr:row>
                    <xdr:rowOff>49237</xdr:rowOff>
                  </to>
                </anchor>
              </controlPr>
            </control>
          </mc:Choice>
        </mc:AlternateContent>
        <mc:AlternateContent xmlns:mc="http://schemas.openxmlformats.org/markup-compatibility/2006">
          <mc:Choice Requires="x14">
            <control shapeId="1052" r:id="rId5" name="Check Box 28">
              <controlPr defaultSize="0" autoFill="0" autoLine="0" autoPict="0">
                <anchor moveWithCells="1">
                  <from>
                    <xdr:col>0</xdr:col>
                    <xdr:colOff>422031</xdr:colOff>
                    <xdr:row>27</xdr:row>
                    <xdr:rowOff>189914</xdr:rowOff>
                  </from>
                  <to>
                    <xdr:col>0</xdr:col>
                    <xdr:colOff>696351</xdr:colOff>
                    <xdr:row>29</xdr:row>
                    <xdr:rowOff>7034</xdr:rowOff>
                  </to>
                </anchor>
              </controlPr>
            </control>
          </mc:Choice>
        </mc:AlternateContent>
        <mc:AlternateContent xmlns:mc="http://schemas.openxmlformats.org/markup-compatibility/2006">
          <mc:Choice Requires="x14">
            <control shapeId="1053" r:id="rId6" name="Check Box 29">
              <controlPr defaultSize="0" autoFill="0" autoLine="0" autoPict="0">
                <anchor moveWithCells="1">
                  <from>
                    <xdr:col>0</xdr:col>
                    <xdr:colOff>422031</xdr:colOff>
                    <xdr:row>30</xdr:row>
                    <xdr:rowOff>189914</xdr:rowOff>
                  </from>
                  <to>
                    <xdr:col>0</xdr:col>
                    <xdr:colOff>696351</xdr:colOff>
                    <xdr:row>32</xdr:row>
                    <xdr:rowOff>0</xdr:rowOff>
                  </to>
                </anchor>
              </controlPr>
            </control>
          </mc:Choice>
        </mc:AlternateContent>
        <mc:AlternateContent xmlns:mc="http://schemas.openxmlformats.org/markup-compatibility/2006">
          <mc:Choice Requires="x14">
            <control shapeId="1054" r:id="rId7" name="Check Box 30">
              <controlPr defaultSize="0" autoFill="0" autoLine="0" autoPict="0">
                <anchor moveWithCells="1">
                  <from>
                    <xdr:col>0</xdr:col>
                    <xdr:colOff>422031</xdr:colOff>
                    <xdr:row>29</xdr:row>
                    <xdr:rowOff>189914</xdr:rowOff>
                  </from>
                  <to>
                    <xdr:col>0</xdr:col>
                    <xdr:colOff>696351</xdr:colOff>
                    <xdr:row>31</xdr:row>
                    <xdr:rowOff>7034</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0</xdr:col>
                    <xdr:colOff>422031</xdr:colOff>
                    <xdr:row>33</xdr:row>
                    <xdr:rowOff>189914</xdr:rowOff>
                  </from>
                  <to>
                    <xdr:col>0</xdr:col>
                    <xdr:colOff>696351</xdr:colOff>
                    <xdr:row>35</xdr:row>
                    <xdr:rowOff>7034</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0</xdr:col>
                    <xdr:colOff>422031</xdr:colOff>
                    <xdr:row>34</xdr:row>
                    <xdr:rowOff>196948</xdr:rowOff>
                  </from>
                  <to>
                    <xdr:col>0</xdr:col>
                    <xdr:colOff>696351</xdr:colOff>
                    <xdr:row>36</xdr:row>
                    <xdr:rowOff>7034</xdr:rowOff>
                  </to>
                </anchor>
              </controlPr>
            </control>
          </mc:Choice>
        </mc:AlternateContent>
        <mc:AlternateContent xmlns:mc="http://schemas.openxmlformats.org/markup-compatibility/2006">
          <mc:Choice Requires="x14">
            <control shapeId="1057" r:id="rId10" name="Check Box 33">
              <controlPr defaultSize="0" autoFill="0" autoLine="0" autoPict="0">
                <anchor moveWithCells="1">
                  <from>
                    <xdr:col>0</xdr:col>
                    <xdr:colOff>422031</xdr:colOff>
                    <xdr:row>35</xdr:row>
                    <xdr:rowOff>196948</xdr:rowOff>
                  </from>
                  <to>
                    <xdr:col>0</xdr:col>
                    <xdr:colOff>696351</xdr:colOff>
                    <xdr:row>37</xdr:row>
                    <xdr:rowOff>7034</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0</xdr:col>
                    <xdr:colOff>422031</xdr:colOff>
                    <xdr:row>28</xdr:row>
                    <xdr:rowOff>189914</xdr:rowOff>
                  </from>
                  <to>
                    <xdr:col>0</xdr:col>
                    <xdr:colOff>696351</xdr:colOff>
                    <xdr:row>30</xdr:row>
                    <xdr:rowOff>7034</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0</xdr:col>
                    <xdr:colOff>422031</xdr:colOff>
                    <xdr:row>32</xdr:row>
                    <xdr:rowOff>196948</xdr:rowOff>
                  </from>
                  <to>
                    <xdr:col>0</xdr:col>
                    <xdr:colOff>696351</xdr:colOff>
                    <xdr:row>34</xdr:row>
                    <xdr:rowOff>7034</xdr:rowOff>
                  </to>
                </anchor>
              </controlPr>
            </control>
          </mc:Choice>
        </mc:AlternateContent>
        <mc:AlternateContent xmlns:mc="http://schemas.openxmlformats.org/markup-compatibility/2006">
          <mc:Choice Requires="x14">
            <control shapeId="1060" r:id="rId13" name="Check Box 36">
              <controlPr defaultSize="0" autoFill="0" autoLine="0" autoPict="0">
                <anchor moveWithCells="1">
                  <from>
                    <xdr:col>0</xdr:col>
                    <xdr:colOff>422031</xdr:colOff>
                    <xdr:row>36</xdr:row>
                    <xdr:rowOff>196948</xdr:rowOff>
                  </from>
                  <to>
                    <xdr:col>0</xdr:col>
                    <xdr:colOff>696351</xdr:colOff>
                    <xdr:row>38</xdr:row>
                    <xdr:rowOff>7034</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0</xdr:col>
                    <xdr:colOff>422031</xdr:colOff>
                    <xdr:row>37</xdr:row>
                    <xdr:rowOff>189914</xdr:rowOff>
                  </from>
                  <to>
                    <xdr:col>0</xdr:col>
                    <xdr:colOff>696351</xdr:colOff>
                    <xdr:row>39</xdr:row>
                    <xdr:rowOff>7034</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0</xdr:col>
                    <xdr:colOff>422031</xdr:colOff>
                    <xdr:row>31</xdr:row>
                    <xdr:rowOff>182880</xdr:rowOff>
                  </from>
                  <to>
                    <xdr:col>0</xdr:col>
                    <xdr:colOff>696351</xdr:colOff>
                    <xdr:row>32</xdr:row>
                    <xdr:rowOff>267286</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Lists!$C$1:$C$3</xm:f>
          </x14:formula1>
          <xm:sqref>C222:E229 C220:E220 C113:E114 C72:E73 C167:E168 C202:E202 C45 C64:E70 C71 C88:C89 C116:E117 C271:E276 C119:E120 C142:E147 C149:E155 C163:E165 C157:E161 C170:E180 C79 C204:E205 C259:E269 C122:E140 C217:E218 C91:E110 C187:E200 C52:E58 C81:E84 C85:C86 C77 C182:E186 C207:E216 C231:E257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EBD9288D9B6949B307D31A5A7A4754" ma:contentTypeVersion="1" ma:contentTypeDescription="Create a new document." ma:contentTypeScope="" ma:versionID="2e096f4a294ada0c3058efe0c58bfeb3">
  <xsd:schema xmlns:xsd="http://www.w3.org/2001/XMLSchema" xmlns:xs="http://www.w3.org/2001/XMLSchema" xmlns:p="http://schemas.microsoft.com/office/2006/metadata/properties" xmlns:ns2="6dbdea58-36ce-4410-95f9-7df5ed4dea3b" targetNamespace="http://schemas.microsoft.com/office/2006/metadata/properties" ma:root="true" ma:fieldsID="aea2fe22c4cea2b052a534a8a5c4ee40" ns2:_="">
    <xsd:import namespace="6dbdea58-36ce-4410-95f9-7df5ed4dea3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dea58-36ce-4410-95f9-7df5ed4dea3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37487E-6C3F-48BC-8E6A-F6F40E16FD8B}">
  <ds:schemaRefs>
    <ds:schemaRef ds:uri="http://schemas.microsoft.com/sharepoint/v3/contenttype/forms"/>
  </ds:schemaRefs>
</ds:datastoreItem>
</file>

<file path=customXml/itemProps2.xml><?xml version="1.0" encoding="utf-8"?>
<ds:datastoreItem xmlns:ds="http://schemas.openxmlformats.org/officeDocument/2006/customXml" ds:itemID="{C02A2E21-34CC-4D02-BF6B-88029EB069B3}"/>
</file>

<file path=customXml/itemProps3.xml><?xml version="1.0" encoding="utf-8"?>
<ds:datastoreItem xmlns:ds="http://schemas.openxmlformats.org/officeDocument/2006/customXml" ds:itemID="{6CDF1AC2-11DE-4B6F-8B3F-F4AFFDB8DD5F}">
  <ds:schemaRefs>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elements/1.1/"/>
    <ds:schemaRef ds:uri="http://purl.org/dc/dcmitype/"/>
    <ds:schemaRef ds:uri="http://schemas.microsoft.com/office/infopath/2007/PartnerControls"/>
    <ds:schemaRef ds:uri="6dbdea58-36ce-4410-95f9-7df5ed4dea3b"/>
    <ds:schemaRef ds:uri="6BC96A8F-74C2-4915-A156-0C781927F3A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Lists</vt:lpstr>
      <vt:lpstr>Confidentiality</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2021-06-07T17:44:29Z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0x0101009DEBD9288D9B6949B307D31A5A7A4754</vt:lpwstr>
  </property>
  <property fmtid="{D5CDD505-2E9C-101B-9397-08002B2CF9AE}" pid="10" name="Doc ID 2">
    <vt:lpwstr>1395</vt:lpwstr>
  </property>
</Properties>
</file>