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filterPrivacy="1" codeName="ThisWorkbook"/>
  <xr:revisionPtr revIDLastSave="0" documentId="8_{0F56E0C1-18CF-4E50-BA32-9D3D06785165}" xr6:coauthVersionLast="45" xr6:coauthVersionMax="45" xr10:uidLastSave="{00000000-0000-0000-0000-000000000000}"/>
  <bookViews>
    <workbookView xWindow="28680" yWindow="-105" windowWidth="29040" windowHeight="15840" firstSheet="1" activeTab="1" xr2:uid="{00000000-000D-0000-FFFF-FFFF00000000}"/>
  </bookViews>
  <sheets>
    <sheet name="Lists" sheetId="5" state="hidden" r:id="rId1"/>
    <sheet name="Use" sheetId="6" r:id="rId2"/>
    <sheet name="Questions" sheetId="1" r:id="rId3"/>
  </sheets>
  <definedNames>
    <definedName name="_xlnm._FilterDatabase" localSheetId="2" hidden="1">Questions!$A$44:$FV$280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5" i="1" l="1"/>
  <c r="G136" i="1"/>
  <c r="G133" i="1"/>
  <c r="G121" i="1"/>
  <c r="G244" i="1" l="1"/>
  <c r="G258" i="1" l="1"/>
  <c r="G181" i="1" l="1"/>
  <c r="G77" i="1" l="1"/>
  <c r="G91" i="1"/>
  <c r="G103" i="1" l="1"/>
  <c r="G124" i="1"/>
  <c r="G266" i="1"/>
  <c r="G129" i="1"/>
  <c r="G192" i="1"/>
  <c r="G240" i="1"/>
  <c r="G72" i="1" l="1"/>
  <c r="G191" i="1"/>
  <c r="G189" i="1"/>
  <c r="G71" i="1" l="1"/>
  <c r="G188" i="1"/>
  <c r="G102" i="1"/>
  <c r="G101" i="1"/>
  <c r="G100" i="1"/>
  <c r="G261" i="1"/>
  <c r="G211" i="1"/>
  <c r="G84" i="1"/>
  <c r="G87" i="1"/>
  <c r="G70" i="1"/>
  <c r="G235" i="1" l="1"/>
  <c r="G234" i="1"/>
  <c r="G68" i="1"/>
  <c r="G67" i="1"/>
  <c r="G66" i="1"/>
  <c r="G65" i="1"/>
  <c r="G64" i="1" l="1"/>
  <c r="G97" i="1" l="1"/>
  <c r="G96" i="1"/>
  <c r="G93" i="1"/>
  <c r="G160" i="1"/>
  <c r="G163" i="1" l="1"/>
  <c r="G164" i="1"/>
  <c r="G248" i="1"/>
  <c r="G250" i="1"/>
  <c r="G137" i="1" l="1"/>
  <c r="G275" i="1"/>
  <c r="G270" i="1"/>
  <c r="G269" i="1"/>
  <c r="G233" i="1"/>
  <c r="G249" i="1"/>
  <c r="G247" i="1"/>
  <c r="G246" i="1"/>
  <c r="G230" i="1"/>
  <c r="G229" i="1"/>
  <c r="G226" i="1"/>
  <c r="G218" i="1"/>
  <c r="G207" i="1"/>
  <c r="G204" i="1"/>
  <c r="G202" i="1"/>
  <c r="G200" i="1"/>
  <c r="G198" i="1"/>
  <c r="G197" i="1"/>
  <c r="G196" i="1"/>
  <c r="G184" i="1"/>
  <c r="G183" i="1"/>
  <c r="G194" i="1"/>
  <c r="G158" i="1"/>
  <c r="G171" i="1"/>
  <c r="G169" i="1"/>
  <c r="G167" i="1"/>
  <c r="G166" i="1"/>
  <c r="G156" i="1"/>
  <c r="G154" i="1"/>
  <c r="G152" i="1"/>
  <c r="G150" i="1"/>
  <c r="G149" i="1"/>
  <c r="G148" i="1"/>
  <c r="G123" i="1"/>
  <c r="G132" i="1"/>
  <c r="G98" i="1"/>
  <c r="G116" i="1"/>
  <c r="G115" i="1"/>
  <c r="G58" i="1"/>
  <c r="G139" i="1" l="1"/>
  <c r="G127" i="1"/>
  <c r="G138" i="1"/>
  <c r="G126" i="1"/>
  <c r="G135" i="1"/>
  <c r="G134" i="1"/>
  <c r="G118" i="1"/>
  <c r="G119" i="1" l="1"/>
  <c r="G88" i="1"/>
  <c r="G278" i="1"/>
  <c r="G276" i="1"/>
  <c r="G264" i="1"/>
  <c r="G263" i="1"/>
  <c r="G257" i="1"/>
  <c r="G256" i="1"/>
  <c r="G255" i="1"/>
  <c r="G254" i="1"/>
  <c r="G253" i="1"/>
  <c r="G252" i="1"/>
  <c r="G232" i="1"/>
  <c r="G52" i="1" l="1"/>
  <c r="G113" i="1" l="1"/>
  <c r="G227" i="1" l="1"/>
  <c r="G225" i="1"/>
  <c r="G273" i="1" l="1"/>
  <c r="G280" i="1" l="1"/>
  <c r="G92" i="1"/>
  <c r="G224" i="1" l="1"/>
  <c r="G153" i="1"/>
  <c r="G145" i="1"/>
  <c r="G105" i="1"/>
  <c r="G104" i="1"/>
  <c r="G53" i="1" l="1"/>
  <c r="G146" i="1" l="1"/>
  <c r="G274" i="1"/>
  <c r="G271" i="1"/>
  <c r="G262" i="1"/>
  <c r="G228" i="1"/>
  <c r="G223" i="1"/>
  <c r="G193" i="1"/>
  <c r="G162" i="1"/>
  <c r="G142" i="1"/>
  <c r="G151" i="1"/>
  <c r="G141" i="1"/>
  <c r="G122" i="1"/>
  <c r="G112" i="1"/>
  <c r="G109" i="1"/>
  <c r="G108" i="1"/>
  <c r="G107" i="1"/>
  <c r="G106" i="1"/>
  <c r="G57" i="1"/>
</calcChain>
</file>

<file path=xl/sharedStrings.xml><?xml version="1.0" encoding="utf-8"?>
<sst xmlns="http://schemas.openxmlformats.org/spreadsheetml/2006/main" count="765" uniqueCount="663">
  <si>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</si>
  <si>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</si>
  <si>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</si>
  <si>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</si>
  <si>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</si>
  <si>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</si>
  <si>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</si>
  <si>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</si>
  <si>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</si>
  <si>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</si>
  <si>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</si>
  <si>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</si>
  <si>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</si>
  <si>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</si>
  <si>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</si>
  <si>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</si>
  <si>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</si>
  <si>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</si>
  <si>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</si>
  <si>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</si>
  <si>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</si>
  <si>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</si>
  <si>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</si>
  <si>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</si>
  <si>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</si>
  <si>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</si>
  <si>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</si>
  <si>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</si>
  <si>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</si>
  <si>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</si>
  <si>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</si>
  <si>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</si>
  <si>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</si>
  <si>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</si>
  <si>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</si>
  <si>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</si>
  <si>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</si>
  <si>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</si>
  <si>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</si>
  <si>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</si>
  <si>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</si>
  <si>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</si>
  <si>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</si>
  <si>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</si>
  <si>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</si>
  <si>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</si>
  <si>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</si>
  <si>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</si>
  <si>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</si>
  <si>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</si>
  <si>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</si>
  <si>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</si>
  <si>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</si>
  <si>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DATA-06</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</si>
  <si>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</si>
  <si>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</si>
  <si>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</si>
  <si>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</si>
  <si>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</si>
  <si>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</si>
  <si>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</si>
  <si>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</si>
  <si>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</si>
  <si>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</si>
  <si>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</si>
  <si>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</si>
  <si>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</si>
  <si>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</si>
  <si>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</si>
  <si>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</si>
  <si>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</si>
  <si>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</si>
  <si>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</si>
  <si>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</si>
  <si>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</si>
  <si>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</si>
  <si>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</si>
  <si>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</si>
  <si>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</si>
  <si>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</si>
  <si>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</si>
  <si>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</si>
  <si>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</si>
  <si>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</si>
  <si>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</si>
  <si>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</si>
  <si>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</si>
  <si>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</si>
  <si>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</si>
  <si>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</si>
  <si>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</si>
  <si>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</si>
  <si>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</si>
  <si>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</si>
  <si>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</si>
  <si>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</si>
  <si>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</si>
  <si>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</si>
  <si>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</si>
  <si>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Do you require new employees to fill out agreements and review information security policies?  </t>
  </si>
  <si>
    <t xml:space="preserve">Describe or provide a reference to the tool(s) used to scan for vulnerabilities in your applications and systems. </t>
  </si>
  <si>
    <t>Utility Data Provided</t>
  </si>
  <si>
    <t>Personally Identifiable Information (PII)</t>
  </si>
  <si>
    <t>Credit Card Data/PCI</t>
  </si>
  <si>
    <t xml:space="preserve">Payroll Records </t>
  </si>
  <si>
    <t>Critical Energy Infrastructure Information (CEII)</t>
  </si>
  <si>
    <t>Customer Account Information</t>
  </si>
  <si>
    <t>Financial Records (e.g., budgetary, Form 10-k)</t>
  </si>
  <si>
    <t>Litigation related information</t>
  </si>
  <si>
    <t>Software source code</t>
  </si>
  <si>
    <t>Other – Please explain:</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</si>
  <si>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</si>
  <si>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</si>
  <si>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</si>
  <si>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</si>
  <si>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</si>
  <si>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</si>
  <si>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</si>
  <si>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</si>
  <si>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</si>
  <si>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</si>
  <si>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</si>
  <si>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</si>
  <si>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</si>
  <si>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</si>
  <si>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</si>
  <si>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</si>
  <si>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</si>
  <si>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</si>
  <si>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</si>
  <si>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r>
      <t>Date Submitted:</t>
    </r>
    <r>
      <rPr>
        <b/>
        <sz val="12"/>
        <color theme="0"/>
        <rFont val="Verdana"/>
        <family val="2"/>
      </rPr>
      <t xml:space="preserve">_ </t>
    </r>
    <r>
      <rPr>
        <b/>
        <sz val="12"/>
        <color theme="1"/>
        <rFont val="Verdana"/>
        <family val="2"/>
      </rPr>
      <t xml:space="preserve">   </t>
    </r>
  </si>
  <si>
    <t>Ensure that all parts of CHNG-04 are clearly stated in your response.</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</si>
  <si>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</si>
  <si>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</si>
  <si>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</si>
  <si>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</si>
  <si>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</si>
  <si>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</si>
  <si>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</si>
  <si>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</si>
  <si>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Does the process described in question above adhere to DoD 5220.22-M and/or NIST SP 800-88 standards?</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</si>
  <si>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</si>
  <si>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</si>
  <si>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</si>
  <si>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</si>
  <si>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</si>
  <si>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</si>
  <si>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</si>
  <si>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</si>
  <si>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Is security awareness and privacy training mandatory for all employees?</t>
  </si>
  <si>
    <t>Describe your authentication and authorization processes.</t>
  </si>
  <si>
    <t>Have your systems undergone third-party penetration testing?</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</si>
  <si>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</si>
  <si>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</si>
  <si>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</si>
  <si>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</si>
  <si>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</si>
  <si>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</si>
  <si>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</si>
  <si>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</si>
  <si>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</si>
  <si>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</si>
  <si>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</si>
  <si>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Ensure that all elements of AAAI-18 are clearly stated in your response.</t>
  </si>
  <si>
    <t>Ensure that all elements of VULN-06 are clearly stated in your response.</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</si>
  <si>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</si>
  <si>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</si>
  <si>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</si>
  <si>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</si>
  <si>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</si>
  <si>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</si>
  <si>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</si>
  <si>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</si>
  <si>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</si>
  <si>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</si>
  <si>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</si>
  <si>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Are development environments and systems separate from the main corporate network and any other networks?</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</si>
  <si>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</si>
  <si>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</si>
  <si>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</si>
  <si>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</si>
  <si>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</si>
  <si>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</si>
  <si>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</si>
  <si>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</si>
  <si>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</si>
  <si>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</si>
  <si>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</si>
  <si>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</si>
  <si>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</si>
  <si>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</si>
  <si>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</si>
  <si>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</si>
  <si>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</si>
  <si>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</si>
  <si>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</si>
  <si>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</si>
  <si>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</si>
  <si>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</si>
  <si>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</si>
  <si>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</si>
  <si>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</si>
  <si>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</si>
  <si>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</si>
  <si>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</si>
  <si>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</si>
  <si>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</si>
  <si>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</si>
  <si>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</si>
  <si>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</si>
  <si>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</si>
  <si>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</si>
  <si>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</si>
  <si>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</si>
  <si>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</si>
  <si>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</si>
  <si>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</si>
  <si>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</si>
  <si>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</si>
  <si>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</si>
  <si>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</si>
  <si>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</si>
  <si>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</si>
  <si>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</si>
  <si>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</si>
  <si>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</si>
  <si>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</si>
  <si>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</si>
  <si>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</si>
  <si>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</si>
  <si>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</si>
  <si>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</si>
  <si>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</si>
  <si>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</si>
  <si>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</si>
  <si>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</si>
  <si>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</si>
  <si>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</si>
  <si>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</si>
  <si>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</si>
  <si>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</si>
  <si>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</si>
  <si>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</si>
  <si>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</si>
  <si>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</si>
  <si>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</si>
  <si>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</si>
  <si>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</si>
  <si>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</si>
  <si>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</si>
  <si>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</si>
  <si>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</si>
  <si>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</si>
  <si>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</si>
  <si>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</si>
  <si>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</si>
  <si>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</si>
  <si>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</si>
  <si>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</si>
  <si>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</si>
  <si>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</si>
  <si>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</si>
  <si>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</si>
  <si>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</si>
  <si>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</si>
  <si>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</si>
  <si>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</si>
  <si>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</si>
  <si>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</si>
  <si>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</si>
  <si>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</si>
  <si>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</si>
  <si>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</si>
  <si>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</si>
  <si>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</si>
  <si>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</si>
  <si>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</si>
  <si>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</si>
  <si>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</si>
  <si>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</si>
  <si>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</si>
  <si>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</si>
  <si>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Do you monitor for intrusions on a 24x7x365 basis?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</si>
  <si>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</si>
  <si>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</si>
  <si>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</si>
  <si>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</si>
  <si>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</si>
  <si>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</si>
  <si>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</si>
  <si>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</si>
  <si>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</si>
  <si>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</si>
  <si>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</si>
  <si>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</si>
  <si>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</si>
  <si>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</si>
  <si>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</si>
  <si>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</si>
  <si>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</si>
  <si>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</si>
  <si>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</si>
  <si>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</si>
  <si>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</si>
  <si>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</si>
  <si>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</si>
  <si>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</si>
  <si>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</si>
  <si>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</si>
  <si>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</si>
  <si>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</si>
  <si>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</si>
  <si>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</si>
  <si>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</si>
  <si>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</si>
  <si>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</si>
  <si>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</si>
  <si>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Do you have a process through which you recommend actions to be taken by you and/or your customer on a customer-controlled system to reduce the risk of recurrence of the same or similar security incident, including, as appropriate, the provision of action plans and mitigating controls?</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</si>
  <si>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</si>
  <si>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</si>
  <si>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</si>
  <si>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</si>
  <si>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</si>
  <si>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</si>
  <si>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</si>
  <si>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</si>
  <si>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</si>
  <si>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</si>
  <si>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</si>
  <si>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</si>
  <si>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</si>
  <si>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</si>
  <si>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</si>
  <si>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</si>
  <si>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Please indicate the number of hours before notification is made to the utility customer.</t>
  </si>
  <si>
    <t>RISK-21</t>
  </si>
  <si>
    <t>THRD-13</t>
  </si>
  <si>
    <t>Does your information protection program include safeguards and notifications regarding the release of data to third parties?</t>
  </si>
  <si>
    <t>DATA-19</t>
  </si>
  <si>
    <t>DATA-20</t>
  </si>
  <si>
    <t>Does your information protection program prohibit access to customer data without authorization?</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</si>
  <si>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</si>
  <si>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</si>
  <si>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</si>
  <si>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</si>
  <si>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</si>
  <si>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</si>
  <si>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</si>
  <si>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</si>
  <si>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</si>
  <si>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</si>
  <si>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</si>
  <si>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</si>
  <si>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</si>
  <si>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</si>
  <si>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</si>
  <si>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</si>
  <si>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</si>
  <si>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</si>
  <si>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</si>
  <si>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</si>
  <si>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</si>
  <si>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</si>
  <si>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</si>
  <si>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</si>
  <si>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Do you have secure system hardening guidelines and procedures for products developed or provided by you to your customer?</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</si>
  <si>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</si>
  <si>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</si>
  <si>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</si>
  <si>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</si>
  <si>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Is media used for long-term retention of customer's business data and archival purposes stored in a secure, environmentally protected area?</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</si>
  <si>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</si>
  <si>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</si>
  <si>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</si>
  <si>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</si>
  <si>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</si>
  <si>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</si>
  <si>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</si>
  <si>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</si>
  <si>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</si>
  <si>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</si>
  <si>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</si>
  <si>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</si>
  <si>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</si>
  <si>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</si>
  <si>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</si>
  <si>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</si>
  <si>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 xml:space="preserve">Do you have a process to notify the utility of any supplier-identified cyber or physical security incidents related to your products or services that could pose risk to the utility? </t>
  </si>
  <si>
    <t>Do you have a process through which you investigate whether computer viruses or malware are present in any software or patches before providing such software or patches?</t>
  </si>
  <si>
    <t>Do you agree to remediate any security risks identified by your customer, their representative, or any industry-recognized vulnerability research or assessment organization within a pre-negotiated timeframe?</t>
  </si>
  <si>
    <t>Do you conduct an annual review of all individuals' access to the utility's assets, systems, networks, information, and facilities for which you provision and deprovision access?</t>
  </si>
  <si>
    <t>Do you maintain a list of all individuals with access to your assets, systems, networks, information, and/or facilities?</t>
  </si>
  <si>
    <t>For access within supplier's system functioning as a BCSI repository for entity data, has supplier implemented procedures to revoke access within 24 hours when any individual no longer requires access due to change in employment status or job duties?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</si>
  <si>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</si>
  <si>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</si>
  <si>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</si>
  <si>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</si>
  <si>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</si>
  <si>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</si>
  <si>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Do you have a process by which you will notify your customers when production and/or operation of products and/or services changes to another provider or location?</t>
  </si>
  <si>
    <t>Does your cyber incident response plan contain a requirement to notify customers that purchased the impacted products or services within 24 hours of initiation of your plan?</t>
  </si>
  <si>
    <t>Do you have a process to notify customers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</si>
  <si>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</si>
  <si>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</si>
  <si>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</si>
  <si>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</si>
  <si>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</si>
  <si>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</si>
  <si>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</si>
  <si>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</si>
  <si>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</si>
  <si>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EIR-11</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</si>
  <si>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</si>
  <si>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</si>
  <si>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</si>
  <si>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</si>
  <si>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</si>
  <si>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</si>
  <si>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</si>
  <si>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Describe any other subsidiaries or divisions of identified parent organizations.</t>
  </si>
  <si>
    <t>Provide information on any mergers or acquisitions that have been publicly announced or completed with the last 5 years.</t>
  </si>
  <si>
    <t>Primary (21)
Supports (44)</t>
  </si>
  <si>
    <t>Primary or Supporting for NATF Criteria</t>
  </si>
  <si>
    <t>Primary (50)</t>
  </si>
  <si>
    <t>Primary (56)</t>
  </si>
  <si>
    <t>Supports (21)</t>
  </si>
  <si>
    <t>Supports (38)</t>
  </si>
  <si>
    <t>Supports (56)</t>
  </si>
  <si>
    <t>Primary (40)
Supports (2)</t>
  </si>
  <si>
    <t>Primary (46)</t>
  </si>
  <si>
    <t>Primary (24)</t>
  </si>
  <si>
    <t>Primary (54)</t>
  </si>
  <si>
    <t>Primary (58)</t>
  </si>
  <si>
    <t>Primary (52)</t>
  </si>
  <si>
    <t>Supports (44)</t>
  </si>
  <si>
    <t>Supports (2)</t>
  </si>
  <si>
    <t>Supports (1)</t>
  </si>
  <si>
    <t>Primary (18)</t>
  </si>
  <si>
    <t>Primary (44)</t>
  </si>
  <si>
    <t>Primary (42)</t>
  </si>
  <si>
    <t>Supports (18)</t>
  </si>
  <si>
    <t>Supports (45)</t>
  </si>
  <si>
    <t>Supports (42)</t>
  </si>
  <si>
    <t>Primary (38)</t>
  </si>
  <si>
    <t>Primary (41)</t>
  </si>
  <si>
    <t>Primary (43)</t>
  </si>
  <si>
    <t>Primary (45)</t>
  </si>
  <si>
    <t>Primary (25)
Supporting (28, 36)</t>
  </si>
  <si>
    <t>Primary (28)</t>
  </si>
  <si>
    <t>Primary (36)</t>
  </si>
  <si>
    <t>Supports (30, 36)</t>
  </si>
  <si>
    <t>If response plan is not reviewed on an annual basis, please provide frequency.</t>
  </si>
  <si>
    <t>If response plan is not exercised on an annual basis, please provide frequency.</t>
  </si>
  <si>
    <t>Primary (34)</t>
  </si>
  <si>
    <t>Primary (33)
Supports (25, 26, 34, 35)</t>
  </si>
  <si>
    <t>26, 31</t>
  </si>
  <si>
    <t>Primary (26, 31)</t>
  </si>
  <si>
    <t>Primary (32)</t>
  </si>
  <si>
    <t>Primary (27)</t>
  </si>
  <si>
    <t>Primary (29)</t>
  </si>
  <si>
    <t>Primary (1)</t>
  </si>
  <si>
    <t>Primary (5)
Supports (6)</t>
  </si>
  <si>
    <t>Primary (6)
Supports (7)</t>
  </si>
  <si>
    <t xml:space="preserve">Primary (7)
Supporting (6, 11, 12)
</t>
  </si>
  <si>
    <t>Primary (9)</t>
  </si>
  <si>
    <t>Primary (14)</t>
  </si>
  <si>
    <t>Primary (15)</t>
  </si>
  <si>
    <t>Primary (17)</t>
  </si>
  <si>
    <t>Primary (19)</t>
  </si>
  <si>
    <t>Primary (16)</t>
  </si>
  <si>
    <t>Primary (60)
Supports (49)</t>
  </si>
  <si>
    <t>Supports (53, 58, 60)</t>
  </si>
  <si>
    <t>Primary (55)</t>
  </si>
  <si>
    <t>Primary (51)</t>
  </si>
  <si>
    <t>Primary (37)</t>
  </si>
  <si>
    <t>Primary (49)</t>
  </si>
  <si>
    <t>Primary (53)</t>
  </si>
  <si>
    <t>Supports (57)</t>
  </si>
  <si>
    <t>Supports (16)</t>
  </si>
  <si>
    <t>Primary (20)</t>
  </si>
  <si>
    <t>Supports (39)</t>
  </si>
  <si>
    <t>Supports (39, 45)</t>
  </si>
  <si>
    <t>Primary (2)</t>
  </si>
  <si>
    <t>Supports (48)</t>
  </si>
  <si>
    <t>Supports (49, 58)</t>
  </si>
  <si>
    <t xml:space="preserve">Primary (59)
Supports (20)
</t>
  </si>
  <si>
    <t>Primary (48)</t>
  </si>
  <si>
    <t>Primary (23)</t>
  </si>
  <si>
    <t>Primary (39)</t>
  </si>
  <si>
    <t>Supports (55)</t>
  </si>
  <si>
    <t>Supports (23, 59)</t>
  </si>
  <si>
    <t>Primary (57)</t>
  </si>
  <si>
    <t>Supports (47)</t>
  </si>
  <si>
    <t>Supports (4)</t>
  </si>
  <si>
    <t>Primary (3)</t>
  </si>
  <si>
    <t xml:space="preserve">Primary (13)
Supports (8, 10, 11)
</t>
  </si>
  <si>
    <t>Primary (11)
Supports (12)</t>
  </si>
  <si>
    <t>Primary (10)</t>
  </si>
  <si>
    <t>Do you have a documented program for secure product development, including applying security controls and secure coding techniques, within the system development life cycle?</t>
  </si>
  <si>
    <t>Primary (47)</t>
  </si>
  <si>
    <t>Primary (8)</t>
  </si>
  <si>
    <t>Primary (12)</t>
  </si>
  <si>
    <t>Supports (53, 54)</t>
  </si>
  <si>
    <t xml:space="preserve"> Represents 13</t>
  </si>
  <si>
    <t>Primary (22)</t>
  </si>
  <si>
    <t>Represents 55 (with VULN-10)</t>
  </si>
  <si>
    <t>Represents 55 (with RISK-55)</t>
  </si>
  <si>
    <t>Primary (52)
Supporting (44, 52)</t>
  </si>
  <si>
    <t>Does your company have a cyber incident response plan/process, including when notification would be provided to customers?</t>
  </si>
  <si>
    <t>30, 35</t>
  </si>
  <si>
    <t>Primary (30, 35)</t>
  </si>
  <si>
    <t>Have you taken appropriate action in response to assessment(s) of your cyber incident response plan/process?</t>
  </si>
  <si>
    <t>Have you had pending or resolved product-related litigation in the last ten (10) years?
If yes, please provide a summary.</t>
  </si>
  <si>
    <t>Do you have cyber security risk insurance?
If yes, please provide coverage amounts.</t>
  </si>
  <si>
    <t>GNRL-14</t>
  </si>
  <si>
    <t>GNRL-15</t>
  </si>
  <si>
    <t>GNRL-16</t>
  </si>
  <si>
    <t>GNRL-17</t>
  </si>
  <si>
    <t>GNRL-18</t>
  </si>
  <si>
    <t>GNRL-19</t>
  </si>
  <si>
    <t>GNRL-20</t>
  </si>
  <si>
    <t>Number of Contractors In Countries Other than the Untied States or Canada</t>
  </si>
  <si>
    <t>For access within supplier's system, does supplier revoke access when an individual no longer requires access due to change in employment status or job duties?</t>
  </si>
  <si>
    <t>COMP-09</t>
  </si>
  <si>
    <t>COMP-10</t>
  </si>
  <si>
    <t>COMP-11</t>
  </si>
  <si>
    <t>COMP-12</t>
  </si>
  <si>
    <t>COMP-13</t>
  </si>
  <si>
    <t>COMP-14</t>
  </si>
  <si>
    <t>COMP-15</t>
  </si>
  <si>
    <t>WFM-11</t>
  </si>
  <si>
    <t>WFM-12</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</si>
  <si>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</si>
  <si>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Do you maintain an access list of all individuals with access to entity’s assets, information and facilities?</t>
  </si>
  <si>
    <t>IAM-30</t>
  </si>
  <si>
    <t>RISK-28</t>
  </si>
  <si>
    <t>Represents 4</t>
  </si>
  <si>
    <t>Primary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</si>
  <si>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</si>
  <si>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</si>
  <si>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</si>
  <si>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</si>
  <si>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</si>
  <si>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</si>
  <si>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</si>
  <si>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</si>
  <si>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</si>
  <si>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</si>
  <si>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</si>
  <si>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</si>
  <si>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</si>
  <si>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</si>
  <si>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 xml:space="preserve">Have you implemented security controls for the use of devices that access entity's system (e.g., mobile, laptop, non-company devices)? </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</si>
  <si>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</si>
  <si>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</si>
  <si>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</si>
  <si>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</si>
  <si>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</si>
  <si>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</si>
  <si>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teams for different development and customer assistance functions (e.g., customer support, implementation, product management, etc.)?</t>
  </si>
  <si>
    <t>Do you have dedicated information security staff assigned to the product or service to be provided to the utility?</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</si>
  <si>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</si>
  <si>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Describe or provide references to your third-party risk management strategy or provide additional information that may help analysts better understand your environment and how it relates to third-party solutions.</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</si>
  <si>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</si>
  <si>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</si>
  <si>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</si>
  <si>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</si>
  <si>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</si>
  <si>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</si>
  <si>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Do you perform background screenings or multi-state background checks, including seven-year criminal background checks, on all personnel, including employees, contractors, and subcontractors, prior to their first day of work?</t>
  </si>
  <si>
    <t>Does your personnel vetting process allow you to share background check criteria and results with entity for confirmation of process or verification of sampled employees?</t>
  </si>
  <si>
    <t>Version 1.0</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</si>
  <si>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</si>
  <si>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</si>
  <si>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</si>
  <si>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</si>
  <si>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into the entity's systems, do you have an implemented process to obtain authorization from entity prior to initializing each remote access session?</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</si>
  <si>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</si>
  <si>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</si>
  <si>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</si>
  <si>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</si>
  <si>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</si>
  <si>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</si>
  <si>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Do you have a business continuity plan (BCP) to support ongoing operations of your systems and scope of equipment and/or services provided to the entity?</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</si>
  <si>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</si>
  <si>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</si>
  <si>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the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</si>
  <si>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</si>
  <si>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</si>
  <si>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</si>
  <si>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</si>
  <si>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</si>
  <si>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</si>
  <si>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</si>
  <si>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</si>
  <si>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</si>
  <si>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</si>
  <si>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</si>
  <si>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</si>
  <si>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</si>
  <si>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</si>
  <si>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</si>
  <si>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</si>
  <si>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</si>
  <si>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</si>
  <si>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backups containing the utility's data ever leave the computing system boundaries, either physically or via network routing?</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</si>
  <si>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</si>
  <si>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</si>
  <si>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</si>
  <si>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</si>
  <si>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</si>
  <si>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</si>
  <si>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</si>
  <si>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</si>
  <si>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Does your cyber security incident response plan contain clear roles and responsibilities that include coordination of responses to your customer(s)?</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</si>
  <si>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</si>
  <si>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</si>
  <si>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</si>
  <si>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</si>
  <si>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a means by which your customer can verify the source of software, firmware, patch, and data downloads is authentic?</t>
  </si>
  <si>
    <t>Do you have the ability to send automated notifications of and respond to software, patches, and firmware integrity violations?</t>
  </si>
  <si>
    <t>Do you establish and maintain a security program for the product(s) or service(s) being purchased, including implemented processes to verify the integrity and authenticity of the software, patches, and firmware relevant to the product(s) or service(s) being delivered to the entity?</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</si>
  <si>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</si>
  <si>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</si>
  <si>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</si>
  <si>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</si>
  <si>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</si>
  <si>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Do you provide inspection process document for the utility to receive equipment?</t>
  </si>
  <si>
    <t>Can a copy of your most recent application code review or penetration testing reports (carried out by independent third party) be given to utility clients?</t>
  </si>
  <si>
    <t>Do you have a process or program through which you notify your customers of vulnerabilities and/or material defects and remediations of those items in the product(s) and service(s) supplied by you to them throughout the lifecycle of the product(s) or service(s) provided, to include any vulnerabilities identified and unresolved prior to deployment of product(s) in the customer's environment?</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</si>
  <si>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</si>
  <si>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</si>
  <si>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</si>
  <si>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Ensure that all elements of MAPP-02 are clearly stated in your response. (i.e., architecture AND functionality are defined)</t>
  </si>
  <si>
    <t>Version: 1.0</t>
  </si>
  <si>
    <t>Open Distribution for Supply Chain Materials</t>
  </si>
  <si>
    <t xml:space="preserve"> </t>
  </si>
  <si>
    <t>The use of the content contained herein (“Content”) is openly permitted; however, any such use must include this notice and reference the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</si>
  <si>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Document ID: 1395</t>
  </si>
  <si>
    <t>Energy Sector Supply Chain Risk Questionnaire - Unformatted</t>
  </si>
  <si>
    <t>Published
5/8/2020</t>
  </si>
  <si>
    <t>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This is intended for use by suppliers participating in a third-party security assessment and should be completed by a supplier. Review the Instructions tab for further guidance.</t>
  </si>
  <si>
    <t>http://www.supplier.domain/privacynotice</t>
  </si>
  <si>
    <t>Robust answers from the supplier improve the quality and efficiency of the security assessment process.</t>
  </si>
  <si>
    <t>GNRL-01 through GNRL-20; populated by the Supplier</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</si>
  <si>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</si>
  <si>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</si>
  <si>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</si>
  <si>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</si>
  <si>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</si>
  <si>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</si>
  <si>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</si>
  <si>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</si>
  <si>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</si>
  <si>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</si>
  <si>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</si>
  <si>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</si>
  <si>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</si>
  <si>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</si>
  <si>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</si>
  <si>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Step 1: Complete each section answering each set of questions in order from top to bottom.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</si>
  <si>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Supplier Corporate Systems</t>
  </si>
  <si>
    <t>Supplier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</si>
</sst>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8" x14ac:knownFonts="1">
    <font>
      <sz val="12"/>
      <color indexed="8"/>
      <name val="Verdana"/>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4"/>
      <color theme="0" tint="-0.249977111117893"/>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b/>
      <sz val="24"/>
      <color theme="4" tint="-0.499984740745262"/>
      <name val="Calibri Light"/>
      <family val="2"/>
      <scheme val="major"/>
    </font>
    <font>
      <sz val="11"/>
      <name val="Calibri"/>
      <family val="2"/>
      <scheme val="minor"/>
    </font>
    <font>
      <b/>
      <sz val="12"/>
      <color theme="1"/>
      <name val="Calibri"/>
      <family val="2"/>
      <scheme val="minor"/>
    </font>
    <font>
      <sz val="9"/>
      <color indexed="8"/>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s>
  <cellStyleXfs count="1">
    <xf numFmtId="0" fontId="0" fillId="0" borderId="0" applyNumberFormat="0" applyFill="0" applyBorder="0" applyProtection="0">
      <alignment vertical="top" wrapText="1"/>
    </xf>
  </cellStyleXfs>
  <cellXfs count="106">
    <xf numFmtId="0" fontId="0" fillId="0" borderId="0" xfId="0">
      <alignment vertical="top" wrapText="1"/>
    </xf>
    <xf numFmtId="0" fontId="3" fillId="0" borderId="0" xfId="0" applyNumberFormat="1" applyFont="1" applyAlignment="1"/>
    <xf numFmtId="0" fontId="0" fillId="0" borderId="0" xfId="0" applyFont="1" applyAlignment="1">
      <alignment vertical="top" wrapText="1"/>
    </xf>
    <xf numFmtId="0" fontId="7" fillId="4" borderId="1"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wrapText="1"/>
    </xf>
    <xf numFmtId="1" fontId="12" fillId="2" borderId="1" xfId="0" applyNumberFormat="1" applyFont="1" applyFill="1" applyBorder="1" applyAlignment="1">
      <alignment vertical="center" wrapText="1"/>
    </xf>
    <xf numFmtId="0" fontId="13" fillId="8" borderId="1" xfId="0" applyFont="1" applyFill="1" applyBorder="1" applyAlignment="1">
      <alignment vertical="center" wrapText="1"/>
    </xf>
    <xf numFmtId="0" fontId="12" fillId="2" borderId="1" xfId="0" applyNumberFormat="1" applyFont="1" applyFill="1" applyBorder="1" applyAlignment="1">
      <alignment vertical="center" wrapText="1"/>
    </xf>
    <xf numFmtId="0" fontId="12" fillId="2" borderId="1" xfId="0" applyFont="1" applyFill="1" applyBorder="1" applyAlignment="1">
      <alignment vertical="center" wrapText="1"/>
    </xf>
    <xf numFmtId="0" fontId="3" fillId="0" borderId="0" xfId="0" applyNumberFormat="1" applyFont="1" applyAlignment="1">
      <alignment horizontal="center" vertical="center"/>
    </xf>
    <xf numFmtId="0" fontId="3" fillId="0" borderId="0" xfId="0" applyNumberFormat="1" applyFont="1" applyAlignment="1">
      <alignment wrapText="1"/>
    </xf>
    <xf numFmtId="0" fontId="11" fillId="0" borderId="0" xfId="0" applyNumberFormat="1" applyFont="1" applyBorder="1" applyAlignment="1">
      <alignment wrapText="1"/>
    </xf>
    <xf numFmtId="0" fontId="2" fillId="9" borderId="1" xfId="0" applyNumberFormat="1" applyFont="1" applyFill="1" applyBorder="1" applyAlignment="1">
      <alignment horizontal="center" vertical="center" wrapText="1"/>
    </xf>
    <xf numFmtId="0" fontId="3" fillId="2" borderId="4" xfId="0" applyFont="1" applyFill="1" applyBorder="1" applyAlignment="1">
      <alignment vertical="center" wrapText="1"/>
    </xf>
    <xf numFmtId="0" fontId="0" fillId="2" borderId="0" xfId="0" applyFill="1" applyBorder="1" applyAlignment="1">
      <alignment vertical="top"/>
    </xf>
    <xf numFmtId="0" fontId="3" fillId="2" borderId="0" xfId="0" applyFont="1" applyFill="1" applyBorder="1" applyAlignment="1">
      <alignment vertical="center"/>
    </xf>
    <xf numFmtId="0" fontId="15" fillId="2" borderId="0" xfId="0" applyFont="1" applyFill="1" applyBorder="1" applyAlignment="1">
      <alignment vertical="center" wrapText="1"/>
    </xf>
    <xf numFmtId="0" fontId="17" fillId="7" borderId="1" xfId="0" applyFont="1" applyFill="1" applyBorder="1" applyAlignment="1">
      <alignment vertical="center" wrapText="1"/>
    </xf>
    <xf numFmtId="0" fontId="18" fillId="7" borderId="1" xfId="0" applyFont="1" applyFill="1" applyBorder="1" applyAlignment="1">
      <alignment vertical="center" wrapText="1"/>
    </xf>
    <xf numFmtId="0" fontId="17" fillId="3" borderId="1" xfId="0" applyNumberFormat="1" applyFont="1" applyFill="1" applyBorder="1" applyAlignment="1">
      <alignment horizontal="center" vertical="center" wrapText="1"/>
    </xf>
    <xf numFmtId="0" fontId="17" fillId="3" borderId="1" xfId="0" applyNumberFormat="1" applyFont="1" applyFill="1" applyBorder="1" applyAlignment="1">
      <alignment horizontal="left" vertical="center" wrapText="1"/>
    </xf>
    <xf numFmtId="0" fontId="17" fillId="3" borderId="1" xfId="0" applyNumberFormat="1" applyFont="1" applyFill="1" applyBorder="1" applyAlignment="1">
      <alignment vertical="center" wrapText="1"/>
    </xf>
    <xf numFmtId="1" fontId="17" fillId="3" borderId="1" xfId="0" applyNumberFormat="1" applyFont="1" applyFill="1" applyBorder="1" applyAlignment="1">
      <alignment vertical="center" wrapText="1"/>
    </xf>
    <xf numFmtId="0" fontId="17" fillId="3" borderId="1" xfId="0" applyNumberFormat="1" applyFont="1" applyFill="1" applyBorder="1" applyAlignment="1">
      <alignment horizontal="left" vertical="center" wrapText="1"/>
    </xf>
    <xf numFmtId="0" fontId="17" fillId="10" borderId="1" xfId="0" applyNumberFormat="1" applyFont="1" applyFill="1" applyBorder="1" applyAlignment="1">
      <alignment vertical="center" wrapText="1"/>
    </xf>
    <xf numFmtId="1" fontId="20" fillId="0" borderId="1" xfId="0" applyNumberFormat="1" applyFont="1" applyFill="1" applyBorder="1" applyAlignment="1">
      <alignment vertical="center" wrapText="1"/>
    </xf>
    <xf numFmtId="1" fontId="12" fillId="10" borderId="1" xfId="0" applyNumberFormat="1" applyFont="1" applyFill="1" applyBorder="1" applyAlignment="1">
      <alignment vertical="center" wrapText="1"/>
    </xf>
    <xf numFmtId="0" fontId="4" fillId="10" borderId="1" xfId="0" applyNumberFormat="1" applyFont="1" applyFill="1" applyBorder="1" applyAlignment="1">
      <alignment vertical="center" wrapText="1"/>
    </xf>
    <xf numFmtId="0" fontId="20"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left" vertical="center" wrapText="1"/>
    </xf>
    <xf numFmtId="0" fontId="17" fillId="2" borderId="1" xfId="0" applyNumberFormat="1" applyFont="1" applyFill="1" applyBorder="1" applyAlignment="1">
      <alignment vertical="center" wrapText="1"/>
    </xf>
    <xf numFmtId="1" fontId="17" fillId="0" borderId="1" xfId="0" applyNumberFormat="1" applyFont="1" applyFill="1" applyBorder="1" applyAlignment="1">
      <alignment vertical="center" wrapText="1"/>
    </xf>
    <xf numFmtId="0" fontId="17" fillId="2" borderId="4" xfId="0" applyFont="1" applyFill="1" applyBorder="1" applyAlignment="1">
      <alignmen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12" fillId="11" borderId="1" xfId="0" applyFont="1" applyFill="1" applyBorder="1" applyAlignment="1">
      <alignment vertical="center" wrapText="1"/>
    </xf>
    <xf numFmtId="0" fontId="17" fillId="0" borderId="1"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0" fontId="17" fillId="3" borderId="1" xfId="0" applyNumberFormat="1" applyFont="1" applyFill="1" applyBorder="1" applyAlignment="1">
      <alignment horizontal="left" vertical="center" wrapText="1"/>
    </xf>
    <xf numFmtId="0" fontId="3" fillId="2" borderId="0" xfId="0" applyFont="1" applyFill="1" applyBorder="1" applyAlignment="1">
      <alignment vertical="center"/>
    </xf>
    <xf numFmtId="0" fontId="17" fillId="7" borderId="1" xfId="0" applyFont="1" applyFill="1" applyBorder="1" applyAlignment="1">
      <alignment vertical="center" wrapText="1"/>
    </xf>
    <xf numFmtId="0"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0" xfId="0" applyNumberFormat="1" applyFont="1" applyAlignment="1">
      <alignment horizontal="center" vertical="center"/>
    </xf>
    <xf numFmtId="0" fontId="12" fillId="2" borderId="6"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0" xfId="0" applyNumberFormat="1" applyFont="1" applyAlignment="1">
      <alignment horizontal="center" vertical="center" wrapText="1"/>
    </xf>
    <xf numFmtId="0"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vertical="center" wrapText="1"/>
    </xf>
    <xf numFmtId="0" fontId="17" fillId="2" borderId="1" xfId="0" applyNumberFormat="1" applyFont="1" applyFill="1" applyBorder="1" applyAlignment="1">
      <alignment horizontal="left" vertical="center" wrapText="1"/>
    </xf>
    <xf numFmtId="0" fontId="17"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8" borderId="1" xfId="0" applyFont="1" applyFill="1" applyBorder="1" applyAlignment="1">
      <alignment vertical="center" wrapText="1"/>
    </xf>
    <xf numFmtId="0" fontId="24" fillId="0" borderId="0" xfId="0" applyFont="1" applyAlignment="1"/>
    <xf numFmtId="0" fontId="25" fillId="0" borderId="0" xfId="0" applyFont="1" applyAlignment="1"/>
    <xf numFmtId="0" fontId="0" fillId="0" borderId="0" xfId="0" applyAlignment="1"/>
    <xf numFmtId="0" fontId="26" fillId="0" borderId="0" xfId="0" applyFont="1" applyAlignment="1"/>
    <xf numFmtId="0" fontId="0" fillId="0" borderId="0" xfId="0" applyAlignment="1">
      <alignment horizontal="justify" vertical="center"/>
    </xf>
    <xf numFmtId="0" fontId="27" fillId="0" borderId="0" xfId="0" applyFont="1" applyAlignment="1">
      <alignment horizontal="justify" vertical="center"/>
    </xf>
    <xf numFmtId="164" fontId="6" fillId="3" borderId="2" xfId="0" applyNumberFormat="1" applyFont="1" applyFill="1" applyBorder="1" applyAlignment="1">
      <alignment horizontal="left" vertical="center" wrapText="1"/>
    </xf>
    <xf numFmtId="164" fontId="6" fillId="3" borderId="3" xfId="0" applyNumberFormat="1" applyFont="1" applyFill="1" applyBorder="1" applyAlignment="1">
      <alignment horizontal="left" vertical="center" wrapText="1"/>
    </xf>
    <xf numFmtId="164" fontId="6" fillId="3" borderId="4" xfId="0" applyNumberFormat="1" applyFont="1" applyFill="1" applyBorder="1" applyAlignment="1">
      <alignment horizontal="left" vertical="center" wrapText="1"/>
    </xf>
    <xf numFmtId="0" fontId="8" fillId="5" borderId="2" xfId="0" applyNumberFormat="1" applyFont="1" applyFill="1" applyBorder="1" applyAlignment="1">
      <alignment horizontal="left" vertical="center" wrapText="1"/>
    </xf>
    <xf numFmtId="0" fontId="8" fillId="5" borderId="3" xfId="0" applyNumberFormat="1" applyFont="1" applyFill="1" applyBorder="1" applyAlignment="1">
      <alignment horizontal="left" vertical="center" wrapText="1"/>
    </xf>
    <xf numFmtId="0" fontId="8" fillId="5" borderId="4" xfId="0" applyNumberFormat="1" applyFont="1" applyFill="1" applyBorder="1" applyAlignment="1">
      <alignment horizontal="left" vertical="center" wrapText="1"/>
    </xf>
    <xf numFmtId="0" fontId="7" fillId="4" borderId="2"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4" xfId="0" applyNumberFormat="1" applyFont="1" applyFill="1" applyBorder="1" applyAlignment="1">
      <alignment horizontal="left" vertical="center" wrapText="1"/>
    </xf>
    <xf numFmtId="0" fontId="9" fillId="6" borderId="2" xfId="0" applyNumberFormat="1" applyFont="1" applyFill="1" applyBorder="1" applyAlignment="1">
      <alignment horizontal="left" vertical="center" wrapText="1"/>
    </xf>
    <xf numFmtId="0" fontId="9" fillId="6" borderId="3" xfId="0" applyNumberFormat="1" applyFont="1" applyFill="1" applyBorder="1" applyAlignment="1">
      <alignment horizontal="left" vertical="center" wrapText="1"/>
    </xf>
    <xf numFmtId="0" fontId="9" fillId="6" borderId="4" xfId="0" applyNumberFormat="1" applyFont="1" applyFill="1" applyBorder="1" applyAlignment="1">
      <alignment horizontal="left" vertical="center" wrapText="1"/>
    </xf>
    <xf numFmtId="0" fontId="22" fillId="0" borderId="2" xfId="0" applyNumberFormat="1" applyFont="1" applyFill="1" applyBorder="1" applyAlignment="1">
      <alignment vertical="center" wrapText="1"/>
    </xf>
    <xf numFmtId="0" fontId="22" fillId="0" borderId="3" xfId="0" applyNumberFormat="1" applyFont="1" applyFill="1" applyBorder="1" applyAlignment="1">
      <alignment vertical="center" wrapText="1"/>
    </xf>
    <xf numFmtId="0" fontId="22" fillId="0" borderId="4" xfId="0" applyNumberFormat="1" applyFont="1" applyFill="1" applyBorder="1" applyAlignment="1">
      <alignment vertical="center" wrapText="1"/>
    </xf>
    <xf numFmtId="0" fontId="5" fillId="2" borderId="3" xfId="0" applyNumberFormat="1" applyFont="1" applyFill="1" applyBorder="1" applyAlignment="1">
      <alignment horizontal="right" vertical="center" wrapText="1"/>
    </xf>
    <xf numFmtId="0" fontId="5" fillId="2" borderId="4" xfId="0" applyNumberFormat="1" applyFont="1" applyFill="1" applyBorder="1" applyAlignment="1">
      <alignment horizontal="right" vertical="center" wrapText="1"/>
    </xf>
    <xf numFmtId="0" fontId="22" fillId="0" borderId="2"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0" fontId="22"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17" fillId="3" borderId="2" xfId="0" applyNumberFormat="1" applyFont="1" applyFill="1" applyBorder="1" applyAlignment="1">
      <alignment horizontal="center" vertical="center" wrapText="1"/>
    </xf>
    <xf numFmtId="0" fontId="17" fillId="3" borderId="3"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1" fontId="17" fillId="3" borderId="2" xfId="0" applyNumberFormat="1" applyFont="1" applyFill="1" applyBorder="1" applyAlignment="1">
      <alignment horizontal="center" vertical="center" wrapText="1"/>
    </xf>
    <xf numFmtId="1" fontId="17" fillId="3" borderId="3" xfId="0" applyNumberFormat="1" applyFont="1" applyFill="1" applyBorder="1" applyAlignment="1">
      <alignment horizontal="center" vertical="center" wrapText="1"/>
    </xf>
    <xf numFmtId="1" fontId="17" fillId="3" borderId="4" xfId="0" applyNumberFormat="1" applyFont="1" applyFill="1" applyBorder="1" applyAlignment="1">
      <alignment horizontal="center" vertical="center" wrapText="1"/>
    </xf>
    <xf numFmtId="0" fontId="17" fillId="3" borderId="1" xfId="0" applyNumberFormat="1" applyFont="1" applyFill="1" applyBorder="1" applyAlignment="1">
      <alignment horizontal="left" vertical="center" wrapText="1"/>
    </xf>
    <xf numFmtId="0" fontId="1" fillId="9" borderId="1" xfId="0" applyNumberFormat="1" applyFont="1" applyFill="1" applyBorder="1" applyAlignment="1">
      <alignment horizontal="left" vertical="center" wrapText="1"/>
    </xf>
    <xf numFmtId="0" fontId="14" fillId="0" borderId="0" xfId="0" applyFont="1" applyBorder="1" applyAlignment="1">
      <alignment vertical="center" wrapText="1"/>
    </xf>
    <xf numFmtId="0" fontId="3" fillId="2" borderId="0" xfId="0" applyFont="1" applyFill="1" applyBorder="1" applyAlignment="1">
      <alignment vertical="center"/>
    </xf>
    <xf numFmtId="0" fontId="17" fillId="7" borderId="1" xfId="0" applyFont="1" applyFill="1" applyBorder="1" applyAlignment="1">
      <alignment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26</xdr:row>
          <xdr:rowOff>257175</xdr:rowOff>
        </xdr:from>
        <xdr:to>
          <xdr:col>0</xdr:col>
          <xdr:colOff>723900</xdr:colOff>
          <xdr:row>28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27</xdr:row>
          <xdr:rowOff>257175</xdr:rowOff>
        </xdr:from>
        <xdr:to>
          <xdr:col>0</xdr:col>
          <xdr:colOff>723900</xdr:colOff>
          <xdr:row>29</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28</xdr:row>
          <xdr:rowOff>0</xdr:rowOff>
        </xdr:from>
        <xdr:to>
          <xdr:col>0</xdr:col>
          <xdr:colOff>723900</xdr:colOff>
          <xdr:row>29</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28</xdr:row>
          <xdr:rowOff>257175</xdr:rowOff>
        </xdr:from>
        <xdr:to>
          <xdr:col>0</xdr:col>
          <xdr:colOff>723900</xdr:colOff>
          <xdr:row>30</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29</xdr:row>
          <xdr:rowOff>257175</xdr:rowOff>
        </xdr:from>
        <xdr:to>
          <xdr:col>0</xdr:col>
          <xdr:colOff>723900</xdr:colOff>
          <xdr:row>31</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30</xdr:row>
          <xdr:rowOff>257175</xdr:rowOff>
        </xdr:from>
        <xdr:to>
          <xdr:col>0</xdr:col>
          <xdr:colOff>723900</xdr:colOff>
          <xdr:row>32</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31</xdr:row>
          <xdr:rowOff>257175</xdr:rowOff>
        </xdr:from>
        <xdr:to>
          <xdr:col>0</xdr:col>
          <xdr:colOff>723900</xdr:colOff>
          <xdr:row>33</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32</xdr:row>
          <xdr:rowOff>257175</xdr:rowOff>
        </xdr:from>
        <xdr:to>
          <xdr:col>0</xdr:col>
          <xdr:colOff>723900</xdr:colOff>
          <xdr:row>34</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33</xdr:row>
          <xdr:rowOff>257175</xdr:rowOff>
        </xdr:from>
        <xdr:to>
          <xdr:col>0</xdr:col>
          <xdr:colOff>723900</xdr:colOff>
          <xdr:row>35</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34</xdr:row>
          <xdr:rowOff>257175</xdr:rowOff>
        </xdr:from>
        <xdr:to>
          <xdr:col>0</xdr:col>
          <xdr:colOff>723900</xdr:colOff>
          <xdr:row>36</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35</xdr:row>
          <xdr:rowOff>257175</xdr:rowOff>
        </xdr:from>
        <xdr:to>
          <xdr:col>0</xdr:col>
          <xdr:colOff>723900</xdr:colOff>
          <xdr:row>37</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36</xdr:row>
          <xdr:rowOff>257175</xdr:rowOff>
        </xdr:from>
        <xdr:to>
          <xdr:col>0</xdr:col>
          <xdr:colOff>723900</xdr:colOff>
          <xdr:row>38</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RowHeight="15" x14ac:dyDescent="0.2"/>
  <cols>
    <col min="3" max="3" width="13.09765625" customWidth="1"/>
  </cols>
  <sheetData>
    <row r="1" spans="1:3" x14ac:dyDescent="0.2">
      <c r="A1" t="s">
        <v>133</v>
      </c>
      <c r="C1" t="s">
        <v>133</v>
      </c>
    </row>
    <row r="2" spans="1:3" x14ac:dyDescent="0.2">
      <c r="A2" t="s">
        <v>134</v>
      </c>
      <c r="C2" t="s">
        <v>134</v>
      </c>
    </row>
    <row r="3" spans="1:3" ht="21" customHeight="1" x14ac:dyDescent="0.2">
      <c r="C3" t="s">
        <v>135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308F-4602-46A4-B274-DF226732242C}">
  <dimension ref="A4:A11"/>
  <sheetViews>
    <sheetView tabSelected="1" workbookViewId="0">
      <selection activeCell="A13" sqref="A13"/>
    </sheetView>
  </sheetViews>
  <sheetFormatPr defaultRowHeight="15" x14ac:dyDescent="0.2"/>
  <cols>
    <col min="1" max="1" width="51.5" customWidth="1"/>
  </cols>
  <sheetData>
    <row r="4" spans="1:1" ht="31.5" x14ac:dyDescent="0.5">
      <c r="A4" s="61" t="s">
        <v>639</v>
      </c>
    </row>
    <row r="5" spans="1:1" x14ac:dyDescent="0.25">
      <c r="A5" s="62" t="s">
        <v>634</v>
      </c>
    </row>
    <row r="6" spans="1:1" x14ac:dyDescent="0.25">
      <c r="A6" s="62" t="s">
        <v>638</v>
      </c>
    </row>
    <row r="7" spans="1:1" x14ac:dyDescent="0.25">
      <c r="A7" s="62"/>
    </row>
    <row r="8" spans="1:1" x14ac:dyDescent="0.2">
      <c r="A8" s="63"/>
    </row>
    <row r="9" spans="1:1" ht="15.75" x14ac:dyDescent="0.25">
      <c r="A9" s="64" t="s">
        <v>635</v>
      </c>
    </row>
    <row r="10" spans="1:1" x14ac:dyDescent="0.2">
      <c r="A10" s="65" t="s">
        <v>636</v>
      </c>
    </row>
    <row r="11" spans="1:1" ht="96" x14ac:dyDescent="0.2">
      <c r="A11" s="66" t="s">
        <v>637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V280"/>
  <sheetViews>
    <sheetView zoomScale="70" zoomScaleNormal="70" workbookViewId="0">
      <pane ySplit="1" topLeftCell="A193" activePane="bottomLeft" state="frozen"/>
      <selection pane="bottomLeft" activeCell="B197" sqref="B197"/>
    </sheetView>
  </sheetViews>
  <sheetFormatPr defaultColWidth="6.59765625" defaultRowHeight="15" customHeight="1" x14ac:dyDescent="0.2"/>
  <cols>
    <col min="1" max="1" width="10.19921875" style="2" customWidth="1"/>
    <col min="2" max="2" width="58.5" style="1" customWidth="1"/>
    <col min="3" max="5" width="19.09765625" style="10" customWidth="1"/>
    <col min="6" max="6" width="41.796875" style="11" customWidth="1"/>
    <col min="7" max="7" width="32" style="12" customWidth="1"/>
    <col min="8" max="8" width="15.796875" style="50" customWidth="1"/>
    <col min="9" max="9" width="18.5" style="53" customWidth="1"/>
    <col min="10" max="178" width="6.59765625" style="1" customWidth="1"/>
    <col min="179" max="16384" width="6.59765625" style="2"/>
  </cols>
  <sheetData>
    <row r="1" spans="1:9" ht="69.75" customHeight="1" x14ac:dyDescent="0.2">
      <c r="A1" s="99" t="s">
        <v>639</v>
      </c>
      <c r="B1" s="99"/>
      <c r="C1" s="99"/>
      <c r="D1" s="99"/>
      <c r="E1" s="99"/>
      <c r="F1" s="99"/>
      <c r="G1" s="13" t="s">
        <v>571</v>
      </c>
      <c r="H1" s="13" t="s">
        <v>640</v>
      </c>
      <c r="I1" s="13"/>
    </row>
    <row r="2" spans="1:9" ht="29.1" customHeight="1" x14ac:dyDescent="0.2">
      <c r="A2" s="82" t="s">
        <v>130</v>
      </c>
      <c r="B2" s="83"/>
      <c r="C2" s="67" t="s">
        <v>0</v>
      </c>
      <c r="D2" s="68"/>
      <c r="E2" s="68"/>
      <c r="F2" s="68"/>
      <c r="G2" s="68"/>
      <c r="H2" s="68"/>
      <c r="I2" s="69"/>
    </row>
    <row r="3" spans="1:9" ht="36" customHeight="1" x14ac:dyDescent="0.2">
      <c r="A3" s="73" t="s">
        <v>1</v>
      </c>
      <c r="B3" s="74"/>
      <c r="C3" s="74"/>
      <c r="D3" s="74"/>
      <c r="E3" s="74"/>
      <c r="F3" s="74"/>
      <c r="G3" s="74"/>
      <c r="H3" s="74"/>
      <c r="I3" s="75"/>
    </row>
    <row r="4" spans="1:9" ht="88.5" customHeight="1" x14ac:dyDescent="0.2">
      <c r="A4" s="70" t="s">
        <v>641</v>
      </c>
      <c r="B4" s="71"/>
      <c r="C4" s="71"/>
      <c r="D4" s="71"/>
      <c r="E4" s="71"/>
      <c r="F4" s="71"/>
      <c r="G4" s="71"/>
      <c r="H4" s="71"/>
      <c r="I4" s="72"/>
    </row>
    <row r="5" spans="1:9" ht="24" customHeight="1" x14ac:dyDescent="0.2">
      <c r="A5" s="76" t="s">
        <v>644</v>
      </c>
      <c r="B5" s="77"/>
      <c r="C5" s="77"/>
      <c r="D5" s="77"/>
      <c r="E5" s="77"/>
      <c r="F5" s="77"/>
      <c r="G5" s="77"/>
      <c r="H5" s="77"/>
      <c r="I5" s="78"/>
    </row>
    <row r="6" spans="1:9" ht="22.35" customHeight="1" x14ac:dyDescent="0.2">
      <c r="A6" s="33" t="s">
        <v>2</v>
      </c>
      <c r="B6" s="56" t="s">
        <v>645</v>
      </c>
      <c r="C6" s="79" t="s">
        <v>645</v>
      </c>
      <c r="D6" s="80"/>
      <c r="E6" s="80"/>
      <c r="F6" s="80"/>
      <c r="G6" s="80"/>
      <c r="H6" s="80"/>
      <c r="I6" s="81"/>
    </row>
    <row r="7" spans="1:9" ht="22.35" customHeight="1" x14ac:dyDescent="0.2">
      <c r="A7" s="33" t="s">
        <v>3</v>
      </c>
      <c r="B7" s="56" t="s">
        <v>646</v>
      </c>
      <c r="C7" s="79" t="s">
        <v>647</v>
      </c>
      <c r="D7" s="80"/>
      <c r="E7" s="80"/>
      <c r="F7" s="80"/>
      <c r="G7" s="80"/>
      <c r="H7" s="80"/>
      <c r="I7" s="81"/>
    </row>
    <row r="8" spans="1:9" ht="22.35" customHeight="1" x14ac:dyDescent="0.2">
      <c r="A8" s="33" t="s">
        <v>4</v>
      </c>
      <c r="B8" s="56" t="s">
        <v>414</v>
      </c>
      <c r="C8" s="84" t="s">
        <v>414</v>
      </c>
      <c r="D8" s="88"/>
      <c r="E8" s="88"/>
      <c r="F8" s="88"/>
      <c r="G8" s="88"/>
      <c r="H8" s="88"/>
      <c r="I8" s="89"/>
    </row>
    <row r="9" spans="1:9" ht="22.35" customHeight="1" x14ac:dyDescent="0.2">
      <c r="A9" s="33" t="s">
        <v>5</v>
      </c>
      <c r="B9" s="56" t="s">
        <v>415</v>
      </c>
      <c r="C9" s="84" t="s">
        <v>415</v>
      </c>
      <c r="D9" s="85"/>
      <c r="E9" s="85"/>
      <c r="F9" s="85"/>
      <c r="G9" s="85"/>
      <c r="H9" s="85"/>
      <c r="I9" s="86"/>
    </row>
    <row r="10" spans="1:9" ht="22.35" customHeight="1" x14ac:dyDescent="0.2">
      <c r="A10" s="33" t="s">
        <v>7</v>
      </c>
      <c r="B10" s="56" t="s">
        <v>416</v>
      </c>
      <c r="C10" s="84" t="s">
        <v>416</v>
      </c>
      <c r="D10" s="85"/>
      <c r="E10" s="85"/>
      <c r="F10" s="85"/>
      <c r="G10" s="85"/>
      <c r="H10" s="85"/>
      <c r="I10" s="86"/>
    </row>
    <row r="11" spans="1:9" ht="22.35" customHeight="1" x14ac:dyDescent="0.2">
      <c r="A11" s="33" t="s">
        <v>8</v>
      </c>
      <c r="B11" s="56" t="s">
        <v>417</v>
      </c>
      <c r="C11" s="84" t="s">
        <v>417</v>
      </c>
      <c r="D11" s="85"/>
      <c r="E11" s="85"/>
      <c r="F11" s="85"/>
      <c r="G11" s="85"/>
      <c r="H11" s="85"/>
      <c r="I11" s="86"/>
    </row>
    <row r="12" spans="1:9" ht="22.35" customHeight="1" x14ac:dyDescent="0.2">
      <c r="A12" s="33" t="s">
        <v>9</v>
      </c>
      <c r="B12" s="56" t="s">
        <v>144</v>
      </c>
      <c r="C12" s="84" t="s">
        <v>145</v>
      </c>
      <c r="D12" s="85"/>
      <c r="E12" s="85"/>
      <c r="F12" s="85"/>
      <c r="G12" s="85"/>
      <c r="H12" s="85"/>
      <c r="I12" s="86"/>
    </row>
    <row r="13" spans="1:9" ht="22.35" customHeight="1" x14ac:dyDescent="0.2">
      <c r="A13" s="33" t="s">
        <v>10</v>
      </c>
      <c r="B13" s="56" t="s">
        <v>146</v>
      </c>
      <c r="C13" s="84" t="s">
        <v>147</v>
      </c>
      <c r="D13" s="85"/>
      <c r="E13" s="85"/>
      <c r="F13" s="85"/>
      <c r="G13" s="85"/>
      <c r="H13" s="85"/>
      <c r="I13" s="86"/>
    </row>
    <row r="14" spans="1:9" ht="22.35" customHeight="1" x14ac:dyDescent="0.2">
      <c r="A14" s="33" t="s">
        <v>12</v>
      </c>
      <c r="B14" s="56" t="s">
        <v>6</v>
      </c>
      <c r="C14" s="84" t="s">
        <v>642</v>
      </c>
      <c r="D14" s="85"/>
      <c r="E14" s="85"/>
      <c r="F14" s="85"/>
      <c r="G14" s="85"/>
      <c r="H14" s="85"/>
      <c r="I14" s="86"/>
    </row>
    <row r="15" spans="1:9" ht="22.35" customHeight="1" x14ac:dyDescent="0.2">
      <c r="A15" s="33" t="s">
        <v>13</v>
      </c>
      <c r="B15" s="56" t="s">
        <v>648</v>
      </c>
      <c r="C15" s="84" t="s">
        <v>160</v>
      </c>
      <c r="D15" s="85"/>
      <c r="E15" s="85"/>
      <c r="F15" s="85"/>
      <c r="G15" s="85"/>
      <c r="H15" s="85"/>
      <c r="I15" s="86"/>
    </row>
    <row r="16" spans="1:9" ht="22.35" customHeight="1" x14ac:dyDescent="0.2">
      <c r="A16" s="33" t="s">
        <v>14</v>
      </c>
      <c r="B16" s="56" t="s">
        <v>649</v>
      </c>
      <c r="C16" s="84" t="s">
        <v>157</v>
      </c>
      <c r="D16" s="85"/>
      <c r="E16" s="85"/>
      <c r="F16" s="85"/>
      <c r="G16" s="85"/>
      <c r="H16" s="85"/>
      <c r="I16" s="86"/>
    </row>
    <row r="17" spans="1:9" ht="34.5" customHeight="1" x14ac:dyDescent="0.2">
      <c r="A17" s="33" t="s">
        <v>15</v>
      </c>
      <c r="B17" s="56" t="s">
        <v>418</v>
      </c>
      <c r="C17" s="84" t="s">
        <v>521</v>
      </c>
      <c r="D17" s="85"/>
      <c r="E17" s="85"/>
      <c r="F17" s="85"/>
      <c r="G17" s="85"/>
      <c r="H17" s="85"/>
      <c r="I17" s="86"/>
    </row>
    <row r="18" spans="1:9" ht="22.35" customHeight="1" x14ac:dyDescent="0.2">
      <c r="A18" s="33" t="s">
        <v>97</v>
      </c>
      <c r="B18" s="56" t="s">
        <v>156</v>
      </c>
      <c r="C18" s="79" t="s">
        <v>160</v>
      </c>
      <c r="D18" s="80"/>
      <c r="E18" s="80"/>
      <c r="F18" s="80"/>
      <c r="G18" s="80"/>
      <c r="H18" s="80"/>
      <c r="I18" s="81"/>
    </row>
    <row r="19" spans="1:9" ht="22.35" customHeight="1" x14ac:dyDescent="0.2">
      <c r="A19" s="33" t="s">
        <v>514</v>
      </c>
      <c r="B19" s="56" t="s">
        <v>650</v>
      </c>
      <c r="C19" s="84" t="s">
        <v>651</v>
      </c>
      <c r="D19" s="85"/>
      <c r="E19" s="85"/>
      <c r="F19" s="85"/>
      <c r="G19" s="85"/>
      <c r="H19" s="85"/>
      <c r="I19" s="86"/>
    </row>
    <row r="20" spans="1:9" ht="22.35" customHeight="1" x14ac:dyDescent="0.2">
      <c r="A20" s="33" t="s">
        <v>515</v>
      </c>
      <c r="B20" s="56" t="s">
        <v>652</v>
      </c>
      <c r="C20" s="84" t="s">
        <v>652</v>
      </c>
      <c r="D20" s="85"/>
      <c r="E20" s="85"/>
      <c r="F20" s="85"/>
      <c r="G20" s="85"/>
      <c r="H20" s="85"/>
      <c r="I20" s="86"/>
    </row>
    <row r="21" spans="1:9" ht="22.35" customHeight="1" x14ac:dyDescent="0.2">
      <c r="A21" s="33" t="s">
        <v>516</v>
      </c>
      <c r="B21" s="56" t="s">
        <v>653</v>
      </c>
      <c r="C21" s="84" t="s">
        <v>654</v>
      </c>
      <c r="D21" s="85"/>
      <c r="E21" s="85"/>
      <c r="F21" s="85"/>
      <c r="G21" s="85"/>
      <c r="H21" s="85"/>
      <c r="I21" s="86"/>
    </row>
    <row r="22" spans="1:9" ht="22.35" customHeight="1" x14ac:dyDescent="0.2">
      <c r="A22" s="33" t="s">
        <v>517</v>
      </c>
      <c r="B22" s="56" t="s">
        <v>655</v>
      </c>
      <c r="C22" s="79" t="s">
        <v>655</v>
      </c>
      <c r="D22" s="80"/>
      <c r="E22" s="80"/>
      <c r="F22" s="80"/>
      <c r="G22" s="80"/>
      <c r="H22" s="80"/>
      <c r="I22" s="81"/>
    </row>
    <row r="23" spans="1:9" ht="22.35" customHeight="1" x14ac:dyDescent="0.2">
      <c r="A23" s="33" t="s">
        <v>518</v>
      </c>
      <c r="B23" s="56" t="s">
        <v>656</v>
      </c>
      <c r="C23" s="79" t="s">
        <v>656</v>
      </c>
      <c r="D23" s="80"/>
      <c r="E23" s="80"/>
      <c r="F23" s="80"/>
      <c r="G23" s="80"/>
      <c r="H23" s="80"/>
      <c r="I23" s="81"/>
    </row>
    <row r="24" spans="1:9" ht="22.35" customHeight="1" x14ac:dyDescent="0.2">
      <c r="A24" s="33" t="s">
        <v>519</v>
      </c>
      <c r="B24" s="56" t="s">
        <v>657</v>
      </c>
      <c r="C24" s="79" t="s">
        <v>658</v>
      </c>
      <c r="D24" s="80"/>
      <c r="E24" s="80"/>
      <c r="F24" s="80"/>
      <c r="G24" s="80"/>
      <c r="H24" s="80"/>
      <c r="I24" s="81"/>
    </row>
    <row r="25" spans="1:9" ht="22.35" customHeight="1" x14ac:dyDescent="0.2">
      <c r="A25" s="33" t="s">
        <v>520</v>
      </c>
      <c r="B25" s="56" t="s">
        <v>659</v>
      </c>
      <c r="C25" s="79" t="s">
        <v>11</v>
      </c>
      <c r="D25" s="80"/>
      <c r="E25" s="80"/>
      <c r="F25" s="80"/>
      <c r="G25" s="80"/>
      <c r="H25" s="80"/>
      <c r="I25" s="81"/>
    </row>
    <row r="26" spans="1:9" s="1" customFormat="1" ht="22.35" customHeight="1" x14ac:dyDescent="0.2">
      <c r="A26" s="76" t="s">
        <v>101</v>
      </c>
      <c r="B26" s="77"/>
      <c r="C26" s="77"/>
      <c r="D26" s="77"/>
      <c r="E26" s="77"/>
      <c r="F26" s="77"/>
      <c r="G26" s="77"/>
      <c r="H26" s="77"/>
      <c r="I26" s="78"/>
    </row>
    <row r="27" spans="1:9" s="1" customFormat="1" ht="22.35" customHeight="1" x14ac:dyDescent="0.2">
      <c r="A27" s="100" t="s">
        <v>111</v>
      </c>
      <c r="B27" s="100"/>
      <c r="C27" s="100"/>
      <c r="D27" s="100"/>
      <c r="E27" s="100"/>
      <c r="F27" s="100"/>
      <c r="G27" s="100"/>
      <c r="H27" s="45"/>
      <c r="I27" s="51"/>
    </row>
    <row r="28" spans="1:9" s="1" customFormat="1" ht="22.35" customHeight="1" x14ac:dyDescent="0.2">
      <c r="A28" s="15"/>
      <c r="B28" s="16" t="s">
        <v>102</v>
      </c>
      <c r="C28" s="16"/>
      <c r="D28" s="16"/>
      <c r="E28" s="16"/>
      <c r="F28" s="16"/>
      <c r="G28" s="43"/>
      <c r="H28" s="46"/>
      <c r="I28" s="52"/>
    </row>
    <row r="29" spans="1:9" s="1" customFormat="1" ht="22.35" customHeight="1" x14ac:dyDescent="0.2">
      <c r="A29" s="15"/>
      <c r="B29" s="16" t="s">
        <v>103</v>
      </c>
      <c r="C29" s="16"/>
      <c r="D29" s="16"/>
      <c r="E29" s="16"/>
      <c r="F29" s="16"/>
      <c r="G29" s="43"/>
      <c r="H29" s="46"/>
      <c r="I29" s="52"/>
    </row>
    <row r="30" spans="1:9" s="1" customFormat="1" ht="22.35" customHeight="1" x14ac:dyDescent="0.2">
      <c r="A30" s="15"/>
      <c r="B30" s="16" t="s">
        <v>104</v>
      </c>
      <c r="C30" s="16"/>
      <c r="D30" s="16"/>
      <c r="E30" s="16"/>
      <c r="F30" s="16"/>
      <c r="G30" s="43"/>
      <c r="H30" s="46"/>
      <c r="I30" s="52"/>
    </row>
    <row r="31" spans="1:9" s="1" customFormat="1" ht="22.35" customHeight="1" x14ac:dyDescent="0.2">
      <c r="A31" s="15"/>
      <c r="B31" s="16" t="s">
        <v>105</v>
      </c>
      <c r="C31" s="16"/>
      <c r="D31" s="16"/>
      <c r="E31" s="16"/>
      <c r="F31" s="16"/>
      <c r="G31" s="43"/>
      <c r="H31" s="46"/>
      <c r="I31" s="52"/>
    </row>
    <row r="32" spans="1:9" s="1" customFormat="1" ht="22.35" customHeight="1" x14ac:dyDescent="0.2">
      <c r="A32" s="15"/>
      <c r="B32" s="16" t="s">
        <v>106</v>
      </c>
      <c r="C32" s="16"/>
      <c r="D32" s="16"/>
      <c r="E32" s="16"/>
      <c r="F32" s="16"/>
      <c r="G32" s="43"/>
      <c r="H32" s="46"/>
      <c r="I32" s="52"/>
    </row>
    <row r="33" spans="1:9" s="1" customFormat="1" ht="22.35" customHeight="1" x14ac:dyDescent="0.2">
      <c r="A33" s="15"/>
      <c r="B33" s="16" t="s">
        <v>540</v>
      </c>
      <c r="C33" s="16"/>
      <c r="D33" s="16"/>
      <c r="E33" s="16"/>
      <c r="F33" s="16"/>
      <c r="G33" s="43"/>
      <c r="H33" s="46"/>
      <c r="I33" s="52"/>
    </row>
    <row r="34" spans="1:9" s="1" customFormat="1" ht="22.35" customHeight="1" x14ac:dyDescent="0.2">
      <c r="A34" s="15"/>
      <c r="B34" s="16" t="s">
        <v>107</v>
      </c>
      <c r="C34" s="16"/>
      <c r="D34" s="16"/>
      <c r="E34" s="16"/>
      <c r="F34" s="16"/>
      <c r="G34" s="43"/>
      <c r="H34" s="46"/>
      <c r="I34" s="52"/>
    </row>
    <row r="35" spans="1:9" s="1" customFormat="1" ht="22.35" customHeight="1" x14ac:dyDescent="0.2">
      <c r="A35" s="15"/>
      <c r="B35" s="16" t="s">
        <v>108</v>
      </c>
      <c r="C35" s="16"/>
      <c r="D35" s="16"/>
      <c r="E35" s="16"/>
      <c r="F35" s="16"/>
      <c r="G35" s="43"/>
      <c r="H35" s="46"/>
      <c r="I35" s="52"/>
    </row>
    <row r="36" spans="1:9" s="1" customFormat="1" ht="22.35" customHeight="1" x14ac:dyDescent="0.2">
      <c r="A36" s="15"/>
      <c r="B36" s="16" t="s">
        <v>109</v>
      </c>
      <c r="C36" s="16"/>
      <c r="D36" s="16"/>
      <c r="E36" s="16"/>
      <c r="F36" s="16"/>
      <c r="G36" s="43"/>
      <c r="H36" s="46"/>
      <c r="I36" s="52"/>
    </row>
    <row r="37" spans="1:9" s="1" customFormat="1" ht="22.35" customHeight="1" x14ac:dyDescent="0.2">
      <c r="A37" s="15"/>
      <c r="B37" s="16" t="s">
        <v>541</v>
      </c>
      <c r="C37" s="16"/>
      <c r="D37" s="16"/>
      <c r="E37" s="16"/>
      <c r="F37" s="16"/>
      <c r="G37" s="43"/>
      <c r="H37" s="46"/>
      <c r="I37" s="52"/>
    </row>
    <row r="38" spans="1:9" s="1" customFormat="1" ht="22.35" customHeight="1" x14ac:dyDescent="0.2">
      <c r="A38" s="15"/>
      <c r="B38" s="101" t="s">
        <v>110</v>
      </c>
      <c r="C38" s="101"/>
      <c r="D38" s="101"/>
      <c r="E38" s="101"/>
      <c r="F38" s="101"/>
      <c r="G38" s="101"/>
      <c r="H38" s="46"/>
      <c r="I38" s="52"/>
    </row>
    <row r="39" spans="1:9" s="1" customFormat="1" ht="22.35" customHeight="1" x14ac:dyDescent="0.2">
      <c r="A39" s="15"/>
      <c r="B39" s="16"/>
      <c r="C39" s="16"/>
      <c r="D39" s="16"/>
      <c r="E39" s="16"/>
      <c r="F39" s="16"/>
      <c r="G39" s="43"/>
      <c r="H39" s="46"/>
      <c r="I39" s="52"/>
    </row>
    <row r="40" spans="1:9" s="1" customFormat="1" ht="75" customHeight="1" x14ac:dyDescent="0.2">
      <c r="A40" s="15"/>
      <c r="B40" s="17" t="s">
        <v>542</v>
      </c>
      <c r="C40" s="105"/>
      <c r="D40" s="105"/>
      <c r="E40" s="105"/>
      <c r="F40" s="105"/>
      <c r="G40" s="105"/>
      <c r="H40" s="105"/>
      <c r="I40" s="105"/>
    </row>
    <row r="41" spans="1:9" s="1" customFormat="1" ht="42" customHeight="1" x14ac:dyDescent="0.2">
      <c r="A41" s="15"/>
      <c r="B41" s="17" t="s">
        <v>132</v>
      </c>
      <c r="C41" s="105"/>
      <c r="D41" s="105"/>
      <c r="E41" s="105"/>
      <c r="F41" s="105"/>
      <c r="G41" s="105"/>
      <c r="H41" s="105"/>
      <c r="I41" s="105"/>
    </row>
    <row r="42" spans="1:9" s="1" customFormat="1" ht="36" customHeight="1" x14ac:dyDescent="0.2">
      <c r="A42" s="73" t="s">
        <v>16</v>
      </c>
      <c r="B42" s="74"/>
      <c r="C42" s="74"/>
      <c r="D42" s="74"/>
      <c r="E42" s="74"/>
      <c r="F42" s="74"/>
      <c r="G42" s="74"/>
      <c r="H42" s="74"/>
      <c r="I42" s="75"/>
    </row>
    <row r="43" spans="1:9" s="1" customFormat="1" ht="231" customHeight="1" x14ac:dyDescent="0.2">
      <c r="A43" s="70" t="s">
        <v>660</v>
      </c>
      <c r="B43" s="71"/>
      <c r="C43" s="71"/>
      <c r="D43" s="71"/>
      <c r="E43" s="71"/>
      <c r="F43" s="71"/>
      <c r="G43" s="71"/>
      <c r="H43" s="71"/>
      <c r="I43" s="72"/>
    </row>
    <row r="44" spans="1:9" s="1" customFormat="1" ht="54" x14ac:dyDescent="0.2">
      <c r="A44" s="90" t="s">
        <v>19</v>
      </c>
      <c r="B44" s="90"/>
      <c r="C44" s="3" t="s">
        <v>661</v>
      </c>
      <c r="D44" s="3" t="s">
        <v>662</v>
      </c>
      <c r="E44" s="3" t="s">
        <v>114</v>
      </c>
      <c r="F44" s="3" t="s">
        <v>17</v>
      </c>
      <c r="G44" s="4" t="s">
        <v>18</v>
      </c>
      <c r="H44" s="3" t="s">
        <v>395</v>
      </c>
      <c r="I44" s="3" t="s">
        <v>422</v>
      </c>
    </row>
    <row r="45" spans="1:9" s="1" customFormat="1" ht="83.1" customHeight="1" x14ac:dyDescent="0.2">
      <c r="A45" s="14" t="s">
        <v>189</v>
      </c>
      <c r="B45" s="25" t="s">
        <v>325</v>
      </c>
      <c r="C45" s="103"/>
      <c r="D45" s="104"/>
      <c r="E45" s="104"/>
      <c r="F45" s="26"/>
      <c r="G45" s="6" t="s">
        <v>420</v>
      </c>
      <c r="H45" s="57">
        <v>22</v>
      </c>
      <c r="I45" s="58" t="s">
        <v>504</v>
      </c>
    </row>
    <row r="46" spans="1:9" s="1" customFormat="1" ht="54" customHeight="1" x14ac:dyDescent="0.2">
      <c r="A46" s="14" t="s">
        <v>22</v>
      </c>
      <c r="B46" s="60" t="s">
        <v>20</v>
      </c>
      <c r="C46" s="102"/>
      <c r="D46" s="102"/>
      <c r="E46" s="102"/>
      <c r="F46" s="102"/>
      <c r="G46" s="6" t="s">
        <v>21</v>
      </c>
      <c r="H46" s="57"/>
      <c r="I46" s="58"/>
    </row>
    <row r="47" spans="1:9" s="1" customFormat="1" ht="54" customHeight="1" x14ac:dyDescent="0.2">
      <c r="A47" s="14" t="s">
        <v>25</v>
      </c>
      <c r="B47" s="60" t="s">
        <v>419</v>
      </c>
      <c r="C47" s="102"/>
      <c r="D47" s="102"/>
      <c r="E47" s="102"/>
      <c r="F47" s="102"/>
      <c r="G47" s="6" t="s">
        <v>21</v>
      </c>
      <c r="H47" s="57"/>
      <c r="I47" s="58"/>
    </row>
    <row r="48" spans="1:9" s="1" customFormat="1" ht="54" customHeight="1" x14ac:dyDescent="0.2">
      <c r="A48" s="14" t="s">
        <v>26</v>
      </c>
      <c r="B48" s="60" t="s">
        <v>23</v>
      </c>
      <c r="C48" s="102"/>
      <c r="D48" s="102"/>
      <c r="E48" s="102"/>
      <c r="F48" s="102"/>
      <c r="G48" s="6" t="s">
        <v>24</v>
      </c>
      <c r="H48" s="57"/>
      <c r="I48" s="58"/>
    </row>
    <row r="49" spans="1:9" s="1" customFormat="1" ht="54" customHeight="1" x14ac:dyDescent="0.2">
      <c r="A49" s="14" t="s">
        <v>27</v>
      </c>
      <c r="B49" s="60" t="s">
        <v>554</v>
      </c>
      <c r="C49" s="44"/>
      <c r="D49" s="44"/>
      <c r="E49" s="44"/>
      <c r="F49" s="44"/>
      <c r="G49" s="6"/>
      <c r="H49" s="57"/>
      <c r="I49" s="58"/>
    </row>
    <row r="50" spans="1:9" s="1" customFormat="1" ht="61.15" customHeight="1" x14ac:dyDescent="0.2">
      <c r="A50" s="14" t="s">
        <v>28</v>
      </c>
      <c r="B50" s="60" t="s">
        <v>555</v>
      </c>
      <c r="C50" s="44"/>
      <c r="D50" s="44"/>
      <c r="E50" s="44"/>
      <c r="F50" s="44"/>
      <c r="G50" s="6"/>
      <c r="H50" s="57"/>
      <c r="I50" s="58"/>
    </row>
    <row r="51" spans="1:9" s="1" customFormat="1" ht="54" customHeight="1" x14ac:dyDescent="0.2">
      <c r="A51" s="14" t="s">
        <v>29</v>
      </c>
      <c r="B51" s="60" t="s">
        <v>556</v>
      </c>
      <c r="C51" s="44"/>
      <c r="D51" s="44"/>
      <c r="E51" s="44"/>
      <c r="F51" s="44"/>
      <c r="G51" s="6"/>
      <c r="H51" s="57"/>
      <c r="I51" s="58"/>
    </row>
    <row r="52" spans="1:9" s="1" customFormat="1" ht="54" customHeight="1" x14ac:dyDescent="0.2">
      <c r="A52" s="14" t="s">
        <v>324</v>
      </c>
      <c r="B52" s="60" t="s">
        <v>98</v>
      </c>
      <c r="C52" s="20"/>
      <c r="D52" s="20"/>
      <c r="E52" s="20"/>
      <c r="F52" s="18"/>
      <c r="G52" s="27" t="str">
        <f>IF(C52="","",IF(C52="Yes","Provide a list of utility references, with contact information.","State your primary industry. Please provide appropriate refrences."))</f>
        <v/>
      </c>
      <c r="H52" s="57"/>
      <c r="I52" s="58"/>
    </row>
    <row r="53" spans="1:9" s="1" customFormat="1" ht="64.349999999999994" customHeight="1" x14ac:dyDescent="0.2">
      <c r="A53" s="14" t="s">
        <v>523</v>
      </c>
      <c r="B53" s="60" t="s">
        <v>557</v>
      </c>
      <c r="C53" s="20"/>
      <c r="D53" s="20"/>
      <c r="E53" s="20"/>
      <c r="F53" s="19"/>
      <c r="G53" s="6" t="str">
        <f>IF(C53="","",IF(C53="Yes","Provide a detailed summary of the breach and actions taken to mitigate identified vulnerabilities.",""))</f>
        <v/>
      </c>
      <c r="H53" s="59">
        <v>34</v>
      </c>
      <c r="I53" s="59" t="s">
        <v>453</v>
      </c>
    </row>
    <row r="54" spans="1:9" s="1" customFormat="1" ht="64.349999999999994" customHeight="1" x14ac:dyDescent="0.2">
      <c r="A54" s="14" t="s">
        <v>524</v>
      </c>
      <c r="B54" s="60" t="s">
        <v>512</v>
      </c>
      <c r="C54" s="20"/>
      <c r="D54" s="20"/>
      <c r="E54" s="20"/>
      <c r="F54" s="19"/>
      <c r="G54" s="6"/>
      <c r="H54" s="57"/>
      <c r="I54" s="58"/>
    </row>
    <row r="55" spans="1:9" s="1" customFormat="1" ht="78.75" customHeight="1" x14ac:dyDescent="0.2">
      <c r="A55" s="14" t="s">
        <v>525</v>
      </c>
      <c r="B55" s="60" t="s">
        <v>558</v>
      </c>
      <c r="C55" s="20"/>
      <c r="D55" s="20"/>
      <c r="E55" s="20"/>
      <c r="F55" s="19"/>
      <c r="G55" s="6"/>
      <c r="H55" s="57"/>
      <c r="I55" s="58"/>
    </row>
    <row r="56" spans="1:9" s="1" customFormat="1" ht="64.349999999999994" customHeight="1" x14ac:dyDescent="0.2">
      <c r="A56" s="14" t="s">
        <v>526</v>
      </c>
      <c r="B56" s="60" t="s">
        <v>513</v>
      </c>
      <c r="C56" s="20"/>
      <c r="D56" s="20"/>
      <c r="E56" s="20"/>
      <c r="F56" s="19"/>
      <c r="G56" s="6"/>
      <c r="H56" s="57"/>
      <c r="I56" s="58"/>
    </row>
    <row r="57" spans="1:9" s="1" customFormat="1" ht="54" customHeight="1" x14ac:dyDescent="0.2">
      <c r="A57" s="14" t="s">
        <v>527</v>
      </c>
      <c r="B57" s="60" t="s">
        <v>560</v>
      </c>
      <c r="C57" s="20"/>
      <c r="D57" s="20"/>
      <c r="E57" s="20"/>
      <c r="F57" s="18"/>
      <c r="G57" s="6" t="str">
        <f>IF(C57="","",IF(C57="Yes","Decribe your Information Security Office, including size, talents, resources, etc.","Describe any plans to create an Information Security Office for your organization."))</f>
        <v/>
      </c>
      <c r="H57" s="57"/>
      <c r="I57" s="58"/>
    </row>
    <row r="58" spans="1:9" s="1" customFormat="1" ht="68.099999999999994" customHeight="1" x14ac:dyDescent="0.2">
      <c r="A58" s="14" t="s">
        <v>528</v>
      </c>
      <c r="B58" s="60" t="s">
        <v>559</v>
      </c>
      <c r="C58" s="20"/>
      <c r="D58" s="20"/>
      <c r="E58" s="20"/>
      <c r="F58" s="19"/>
      <c r="G58" s="6" t="str">
        <f>IF(C58="","",IF(C58="Yes","Describe the structure and size of your Software and System Development teams (e.g. Customer Support, Implementation, Product Management, etc.)","Describe your current teams/organizational structure, as well as any plans to create dedicated teams."))</f>
        <v/>
      </c>
      <c r="H58" s="57"/>
      <c r="I58" s="58"/>
    </row>
    <row r="59" spans="1:9" s="1" customFormat="1" ht="83.1" customHeight="1" x14ac:dyDescent="0.2">
      <c r="A59" s="14" t="s">
        <v>529</v>
      </c>
      <c r="B59" s="60" t="s">
        <v>285</v>
      </c>
      <c r="C59" s="102"/>
      <c r="D59" s="102"/>
      <c r="E59" s="102"/>
      <c r="F59" s="102"/>
      <c r="G59" s="6" t="s">
        <v>280</v>
      </c>
      <c r="H59" s="57"/>
      <c r="I59" s="58"/>
    </row>
    <row r="60" spans="1:9" s="1" customFormat="1" ht="60.75" customHeight="1" x14ac:dyDescent="0.2">
      <c r="A60" s="90" t="s">
        <v>171</v>
      </c>
      <c r="B60" s="90"/>
      <c r="C60" s="3" t="s">
        <v>661</v>
      </c>
      <c r="D60" s="3" t="s">
        <v>662</v>
      </c>
      <c r="E60" s="3" t="s">
        <v>114</v>
      </c>
      <c r="F60" s="3" t="s">
        <v>17</v>
      </c>
      <c r="G60" s="4" t="s">
        <v>18</v>
      </c>
      <c r="H60" s="3" t="s">
        <v>395</v>
      </c>
      <c r="I60" s="3" t="s">
        <v>422</v>
      </c>
    </row>
    <row r="61" spans="1:9" s="1" customFormat="1" ht="96" customHeight="1" x14ac:dyDescent="0.2">
      <c r="A61" s="14" t="s">
        <v>30</v>
      </c>
      <c r="B61" s="25" t="s">
        <v>561</v>
      </c>
      <c r="C61" s="98"/>
      <c r="D61" s="98"/>
      <c r="E61" s="98"/>
      <c r="F61" s="98"/>
      <c r="G61" s="6" t="s">
        <v>31</v>
      </c>
      <c r="H61" s="57"/>
      <c r="I61" s="58" t="s">
        <v>480</v>
      </c>
    </row>
    <row r="62" spans="1:9" ht="80.099999999999994" customHeight="1" x14ac:dyDescent="0.2">
      <c r="A62" s="14" t="s">
        <v>32</v>
      </c>
      <c r="B62" s="25" t="s">
        <v>562</v>
      </c>
      <c r="C62" s="98"/>
      <c r="D62" s="98"/>
      <c r="E62" s="98"/>
      <c r="F62" s="98"/>
      <c r="G62" s="6" t="s">
        <v>643</v>
      </c>
      <c r="H62" s="57"/>
      <c r="I62" s="58"/>
    </row>
    <row r="63" spans="1:9" ht="80.099999999999994" customHeight="1" x14ac:dyDescent="0.2">
      <c r="A63" s="14" t="s">
        <v>188</v>
      </c>
      <c r="B63" s="25" t="s">
        <v>563</v>
      </c>
      <c r="C63" s="98"/>
      <c r="D63" s="98"/>
      <c r="E63" s="98"/>
      <c r="F63" s="98"/>
      <c r="G63" s="8"/>
      <c r="H63" s="57"/>
      <c r="I63" s="58" t="s">
        <v>481</v>
      </c>
    </row>
    <row r="64" spans="1:9" ht="80.099999999999994" customHeight="1" x14ac:dyDescent="0.2">
      <c r="A64" s="14" t="s">
        <v>34</v>
      </c>
      <c r="B64" s="25" t="s">
        <v>543</v>
      </c>
      <c r="C64" s="29"/>
      <c r="D64" s="29"/>
      <c r="E64" s="29"/>
      <c r="F64" s="30"/>
      <c r="G64" s="8" t="str">
        <f>IF(C64="","",IF(C64="Yes","Please desribe this program and how it is maintained.","Please desribe how you ensure integrity in absence of a program that ensures storage security."))</f>
        <v/>
      </c>
      <c r="H64" s="57">
        <v>2</v>
      </c>
      <c r="I64" s="58" t="s">
        <v>482</v>
      </c>
    </row>
    <row r="65" spans="1:9" ht="80.099999999999994" customHeight="1" x14ac:dyDescent="0.2">
      <c r="A65" s="14" t="s">
        <v>288</v>
      </c>
      <c r="B65" s="25" t="s">
        <v>381</v>
      </c>
      <c r="C65" s="29"/>
      <c r="D65" s="29"/>
      <c r="E65" s="29"/>
      <c r="F65" s="30"/>
      <c r="G65" s="8" t="str">
        <f>IF(C65="","",IF(C65="Yes","Please desribe this process.","Please desribe how the integrity of software is verified prior to use."))</f>
        <v/>
      </c>
      <c r="H65" s="57"/>
      <c r="I65" s="58" t="s">
        <v>483</v>
      </c>
    </row>
    <row r="66" spans="1:9" ht="80.099999999999994" customHeight="1" x14ac:dyDescent="0.2">
      <c r="A66" s="14" t="s">
        <v>296</v>
      </c>
      <c r="B66" s="25" t="s">
        <v>382</v>
      </c>
      <c r="C66" s="29"/>
      <c r="D66" s="29"/>
      <c r="E66" s="29"/>
      <c r="F66" s="30"/>
      <c r="G66" s="8" t="str">
        <f>IF(C66="","",IF(C66="Yes","Please desribe this process.",""))</f>
        <v/>
      </c>
      <c r="H66" s="57"/>
      <c r="I66" s="58" t="s">
        <v>484</v>
      </c>
    </row>
    <row r="67" spans="1:9" ht="80.099999999999994" customHeight="1" x14ac:dyDescent="0.2">
      <c r="A67" s="14" t="s">
        <v>297</v>
      </c>
      <c r="B67" s="25" t="s">
        <v>544</v>
      </c>
      <c r="C67" s="29"/>
      <c r="D67" s="29"/>
      <c r="E67" s="29"/>
      <c r="F67" s="30"/>
      <c r="G67" s="8" t="str">
        <f>IF(C67="","",IF(C67="Yes","Please desribe this process.",""))</f>
        <v/>
      </c>
      <c r="H67" s="57">
        <v>59</v>
      </c>
      <c r="I67" s="58" t="s">
        <v>485</v>
      </c>
    </row>
    <row r="68" spans="1:9" ht="80.099999999999994" customHeight="1" x14ac:dyDescent="0.2">
      <c r="A68" s="14" t="s">
        <v>298</v>
      </c>
      <c r="B68" s="25" t="s">
        <v>566</v>
      </c>
      <c r="C68" s="29"/>
      <c r="D68" s="29"/>
      <c r="E68" s="29"/>
      <c r="F68" s="30"/>
      <c r="G68" s="8" t="str">
        <f>IF(C68="","",IF(C68="Yes","Please desribe or provide a reference to/copy of this policy.",""))</f>
        <v/>
      </c>
      <c r="H68" s="57">
        <v>48</v>
      </c>
      <c r="I68" s="58" t="s">
        <v>486</v>
      </c>
    </row>
    <row r="69" spans="1:9" ht="80.099999999999994" customHeight="1" x14ac:dyDescent="0.2">
      <c r="A69" s="14" t="s">
        <v>299</v>
      </c>
      <c r="B69" s="25" t="s">
        <v>399</v>
      </c>
      <c r="C69" s="29"/>
      <c r="D69" s="29"/>
      <c r="E69" s="29"/>
      <c r="F69" s="30"/>
      <c r="G69" s="8"/>
      <c r="H69" s="57">
        <v>23</v>
      </c>
      <c r="I69" s="58" t="s">
        <v>487</v>
      </c>
    </row>
    <row r="70" spans="1:9" ht="80.099999999999994" customHeight="1" x14ac:dyDescent="0.2">
      <c r="A70" s="14" t="s">
        <v>300</v>
      </c>
      <c r="B70" s="25" t="s">
        <v>307</v>
      </c>
      <c r="C70" s="29"/>
      <c r="D70" s="29"/>
      <c r="E70" s="29"/>
      <c r="F70" s="30"/>
      <c r="G70" s="8" t="str">
        <f>IF(C70="","",IF(C70="Yes","Can this information be shared with the utility?",""))</f>
        <v/>
      </c>
      <c r="H70" s="57"/>
      <c r="I70" s="58" t="s">
        <v>490</v>
      </c>
    </row>
    <row r="71" spans="1:9" ht="80.099999999999994" customHeight="1" x14ac:dyDescent="0.2">
      <c r="A71" s="14" t="s">
        <v>305</v>
      </c>
      <c r="B71" s="25" t="s">
        <v>337</v>
      </c>
      <c r="C71" s="91"/>
      <c r="D71" s="92"/>
      <c r="E71" s="92"/>
      <c r="F71" s="30"/>
      <c r="G71" s="8" t="str">
        <f>IF(C71="","",IF(C71="Yes","Please descibe this aspect of your program in adequate detail.",""))</f>
        <v/>
      </c>
      <c r="H71" s="57">
        <v>39</v>
      </c>
      <c r="I71" s="58" t="s">
        <v>488</v>
      </c>
    </row>
    <row r="72" spans="1:9" ht="80.099999999999994" customHeight="1" x14ac:dyDescent="0.2">
      <c r="A72" s="14" t="s">
        <v>306</v>
      </c>
      <c r="B72" s="25" t="s">
        <v>567</v>
      </c>
      <c r="C72" s="29"/>
      <c r="D72" s="29"/>
      <c r="E72" s="29"/>
      <c r="F72" s="30"/>
      <c r="G72" s="8" t="str">
        <f>IF(C72="","",IF(C72="Yes","Please descibe this process, including timeframe for and method by which notification is provided.",""))</f>
        <v/>
      </c>
      <c r="H72" s="57"/>
      <c r="I72" s="58" t="s">
        <v>489</v>
      </c>
    </row>
    <row r="73" spans="1:9" ht="80.099999999999994" customHeight="1" x14ac:dyDescent="0.2">
      <c r="A73" s="14" t="s">
        <v>336</v>
      </c>
      <c r="B73" s="25" t="s">
        <v>364</v>
      </c>
      <c r="C73" s="29"/>
      <c r="D73" s="29"/>
      <c r="E73" s="29"/>
      <c r="F73" s="30"/>
      <c r="G73" s="8"/>
      <c r="H73" s="57"/>
      <c r="I73" s="58"/>
    </row>
    <row r="74" spans="1:9" s="1" customFormat="1" ht="80.099999999999994" customHeight="1" x14ac:dyDescent="0.2">
      <c r="A74" s="14" t="s">
        <v>343</v>
      </c>
      <c r="B74" s="28" t="s">
        <v>568</v>
      </c>
      <c r="C74" s="98"/>
      <c r="D74" s="98"/>
      <c r="E74" s="98"/>
      <c r="F74" s="98"/>
      <c r="G74" s="6" t="s">
        <v>33</v>
      </c>
      <c r="H74" s="57"/>
      <c r="I74" s="58"/>
    </row>
    <row r="75" spans="1:9" s="1" customFormat="1" ht="80.099999999999994" customHeight="1" x14ac:dyDescent="0.2">
      <c r="A75" s="14" t="s">
        <v>363</v>
      </c>
      <c r="B75" s="5" t="s">
        <v>538</v>
      </c>
      <c r="C75" s="98"/>
      <c r="D75" s="98"/>
      <c r="E75" s="98"/>
      <c r="F75" s="98"/>
      <c r="G75" s="6" t="s">
        <v>186</v>
      </c>
      <c r="H75" s="57"/>
      <c r="I75" s="58"/>
    </row>
    <row r="76" spans="1:9" ht="73.5" customHeight="1" x14ac:dyDescent="0.2">
      <c r="A76" s="90" t="s">
        <v>187</v>
      </c>
      <c r="B76" s="90"/>
      <c r="C76" s="3" t="s">
        <v>661</v>
      </c>
      <c r="D76" s="3" t="s">
        <v>662</v>
      </c>
      <c r="E76" s="3" t="s">
        <v>114</v>
      </c>
      <c r="F76" s="3" t="s">
        <v>17</v>
      </c>
      <c r="G76" s="4" t="s">
        <v>18</v>
      </c>
      <c r="H76" s="3" t="s">
        <v>395</v>
      </c>
      <c r="I76" s="3" t="s">
        <v>422</v>
      </c>
    </row>
    <row r="77" spans="1:9" ht="73.5" customHeight="1" x14ac:dyDescent="0.2">
      <c r="A77" s="14" t="s">
        <v>312</v>
      </c>
      <c r="B77" s="31" t="s">
        <v>569</v>
      </c>
      <c r="C77" s="91"/>
      <c r="D77" s="92"/>
      <c r="E77" s="92"/>
      <c r="F77" s="23"/>
      <c r="G77" s="8" t="str">
        <f>IF(C77="","",IF(C77="Yes","Summarize  background check practices including level (e.g. seven-year background checks) and any exempted personnel (i.e. by country).","State plans to implement background checks into your hiring process."))</f>
        <v/>
      </c>
      <c r="H77" s="57" t="s">
        <v>536</v>
      </c>
      <c r="I77" s="58" t="s">
        <v>537</v>
      </c>
    </row>
    <row r="78" spans="1:9" ht="73.5" customHeight="1" x14ac:dyDescent="0.2">
      <c r="A78" s="14" t="s">
        <v>313</v>
      </c>
      <c r="B78" s="31" t="s">
        <v>570</v>
      </c>
      <c r="C78" s="91"/>
      <c r="D78" s="92"/>
      <c r="E78" s="92"/>
      <c r="F78" s="23"/>
      <c r="G78" s="8"/>
      <c r="H78" s="57">
        <v>3</v>
      </c>
      <c r="I78" s="58" t="s">
        <v>494</v>
      </c>
    </row>
    <row r="79" spans="1:9" ht="78" customHeight="1" x14ac:dyDescent="0.2">
      <c r="A79" s="14" t="s">
        <v>314</v>
      </c>
      <c r="B79" s="31" t="s">
        <v>532</v>
      </c>
      <c r="C79" s="95"/>
      <c r="D79" s="96"/>
      <c r="E79" s="96"/>
      <c r="F79" s="97"/>
      <c r="G79" s="8"/>
      <c r="H79" s="58" t="s">
        <v>503</v>
      </c>
      <c r="I79" s="58" t="s">
        <v>495</v>
      </c>
    </row>
    <row r="80" spans="1:9" ht="88.5" customHeight="1" x14ac:dyDescent="0.2">
      <c r="A80" s="14" t="s">
        <v>315</v>
      </c>
      <c r="B80" s="31" t="s">
        <v>393</v>
      </c>
      <c r="C80" s="20"/>
      <c r="D80" s="20"/>
      <c r="E80" s="20"/>
      <c r="F80" s="32"/>
      <c r="G80" s="8"/>
      <c r="H80" s="57">
        <v>11</v>
      </c>
      <c r="I80" s="58" t="s">
        <v>496</v>
      </c>
    </row>
    <row r="81" spans="1:9" ht="88.5" customHeight="1" x14ac:dyDescent="0.2">
      <c r="A81" s="14" t="s">
        <v>316</v>
      </c>
      <c r="B81" s="31" t="s">
        <v>522</v>
      </c>
      <c r="C81" s="20"/>
      <c r="D81" s="20"/>
      <c r="E81" s="20"/>
      <c r="F81" s="32"/>
      <c r="G81" s="8"/>
      <c r="H81" s="57">
        <v>12</v>
      </c>
      <c r="I81" s="58" t="s">
        <v>501</v>
      </c>
    </row>
    <row r="82" spans="1:9" ht="88.5" customHeight="1" x14ac:dyDescent="0.2">
      <c r="A82" s="14" t="s">
        <v>311</v>
      </c>
      <c r="B82" s="31" t="s">
        <v>392</v>
      </c>
      <c r="C82" s="20"/>
      <c r="D82" s="20"/>
      <c r="E82" s="20"/>
      <c r="F82" s="32"/>
      <c r="G82" s="8"/>
      <c r="H82" s="57">
        <v>10</v>
      </c>
      <c r="I82" s="58" t="s">
        <v>497</v>
      </c>
    </row>
    <row r="83" spans="1:9" ht="88.5" customHeight="1" x14ac:dyDescent="0.2">
      <c r="A83" s="14" t="s">
        <v>310</v>
      </c>
      <c r="B83" s="31" t="s">
        <v>498</v>
      </c>
      <c r="C83" s="20"/>
      <c r="D83" s="20"/>
      <c r="E83" s="20"/>
      <c r="F83" s="32"/>
      <c r="G83" s="8"/>
      <c r="H83" s="57">
        <v>47</v>
      </c>
      <c r="I83" s="58" t="s">
        <v>499</v>
      </c>
    </row>
    <row r="84" spans="1:9" ht="73.5" customHeight="1" x14ac:dyDescent="0.2">
      <c r="A84" s="14" t="s">
        <v>403</v>
      </c>
      <c r="B84" s="31" t="s">
        <v>383</v>
      </c>
      <c r="C84" s="93"/>
      <c r="D84" s="94"/>
      <c r="E84" s="94"/>
      <c r="F84" s="32"/>
      <c r="G84" s="8" t="str">
        <f>IF(C84="","",IF(C84="Yes","Summarize your securing coding training and state how frequently employees are required to undergo this training.","State plans to make secure coding training mandatory for all developers."))</f>
        <v/>
      </c>
      <c r="H84" s="57"/>
      <c r="I84" s="58" t="s">
        <v>492</v>
      </c>
    </row>
    <row r="85" spans="1:9" ht="117" customHeight="1" x14ac:dyDescent="0.2">
      <c r="A85" s="14" t="s">
        <v>404</v>
      </c>
      <c r="B85" s="31" t="s">
        <v>572</v>
      </c>
      <c r="C85" s="93"/>
      <c r="D85" s="94"/>
      <c r="E85" s="94"/>
      <c r="F85" s="32"/>
      <c r="G85" s="8"/>
      <c r="H85" s="57"/>
      <c r="I85" s="58" t="s">
        <v>493</v>
      </c>
    </row>
    <row r="86" spans="1:9" ht="73.5" customHeight="1" x14ac:dyDescent="0.2">
      <c r="A86" s="14" t="s">
        <v>405</v>
      </c>
      <c r="B86" s="31" t="s">
        <v>573</v>
      </c>
      <c r="C86" s="95"/>
      <c r="D86" s="96"/>
      <c r="E86" s="96"/>
      <c r="F86" s="97"/>
      <c r="G86" s="8"/>
      <c r="H86" s="57"/>
      <c r="I86" s="58"/>
    </row>
    <row r="87" spans="1:9" ht="73.5" customHeight="1" x14ac:dyDescent="0.2">
      <c r="A87" s="14" t="s">
        <v>530</v>
      </c>
      <c r="B87" s="31" t="s">
        <v>99</v>
      </c>
      <c r="C87" s="91"/>
      <c r="D87" s="92"/>
      <c r="E87" s="92"/>
      <c r="F87" s="23"/>
      <c r="G87" s="8" t="str">
        <f>IF(C87="","",IF(C87="Yes","Summarize the required agreements and reviewed policies.","Summarize why new employees are not required to accept agreements or review policy, as well as any practices that are conducted with new employees."))</f>
        <v/>
      </c>
      <c r="H87" s="57"/>
      <c r="I87" s="58"/>
    </row>
    <row r="88" spans="1:9" ht="73.5" customHeight="1" x14ac:dyDescent="0.2">
      <c r="A88" s="14" t="s">
        <v>531</v>
      </c>
      <c r="B88" s="31" t="s">
        <v>149</v>
      </c>
      <c r="C88" s="91"/>
      <c r="D88" s="92"/>
      <c r="E88" s="92"/>
      <c r="F88" s="23"/>
      <c r="G88" s="8" t="str">
        <f>IF(C88="","",IF(C88="Yes","Summarize your security awareness and privacy training content and state how frequently employees are required to undergo security awareness training.","State plans to make security awareness training mandatory for all employees."))</f>
        <v/>
      </c>
      <c r="H88" s="57"/>
      <c r="I88" s="58"/>
    </row>
    <row r="89" spans="1:9" ht="54" x14ac:dyDescent="0.2">
      <c r="A89" s="90" t="s">
        <v>169</v>
      </c>
      <c r="B89" s="90"/>
      <c r="C89" s="3" t="s">
        <v>661</v>
      </c>
      <c r="D89" s="3" t="s">
        <v>662</v>
      </c>
      <c r="E89" s="3" t="s">
        <v>114</v>
      </c>
      <c r="F89" s="3" t="s">
        <v>17</v>
      </c>
      <c r="G89" s="4" t="s">
        <v>18</v>
      </c>
      <c r="H89" s="3" t="s">
        <v>395</v>
      </c>
      <c r="I89" s="3" t="s">
        <v>422</v>
      </c>
    </row>
    <row r="90" spans="1:9" s="1" customFormat="1" ht="47.1" customHeight="1" x14ac:dyDescent="0.2">
      <c r="A90" s="14" t="s">
        <v>190</v>
      </c>
      <c r="B90" s="5" t="s">
        <v>150</v>
      </c>
      <c r="C90" s="20"/>
      <c r="D90" s="20"/>
      <c r="E90" s="20"/>
      <c r="F90" s="21"/>
      <c r="G90" s="8"/>
      <c r="H90" s="57"/>
      <c r="I90" s="58"/>
    </row>
    <row r="91" spans="1:9" s="1" customFormat="1" ht="47.1" customHeight="1" x14ac:dyDescent="0.2">
      <c r="A91" s="14" t="s">
        <v>191</v>
      </c>
      <c r="B91" s="5" t="s">
        <v>574</v>
      </c>
      <c r="C91" s="20"/>
      <c r="D91" s="20"/>
      <c r="E91" s="20"/>
      <c r="F91" s="42"/>
      <c r="G91" s="8" t="str">
        <f>IF(C91="","",IF(C91="Yes","Please provide a high-level description of the major components of this program.","Describe plans to implement such an identity and access management program."))</f>
        <v/>
      </c>
      <c r="H91" s="57">
        <v>1</v>
      </c>
      <c r="I91" s="58" t="s">
        <v>460</v>
      </c>
    </row>
    <row r="92" spans="1:9" s="1" customFormat="1" ht="103.5" customHeight="1" x14ac:dyDescent="0.2">
      <c r="A92" s="14" t="s">
        <v>192</v>
      </c>
      <c r="B92" s="5" t="s">
        <v>575</v>
      </c>
      <c r="C92" s="20"/>
      <c r="D92" s="20"/>
      <c r="E92" s="20"/>
      <c r="F92" s="23"/>
      <c r="G92" s="8" t="str">
        <f>IF(C92="","",IF(C92="Yes","List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2" s="57"/>
      <c r="I92" s="58"/>
    </row>
    <row r="93" spans="1:9" s="1" customFormat="1" ht="84" customHeight="1" x14ac:dyDescent="0.2">
      <c r="A93" s="14" t="s">
        <v>193</v>
      </c>
      <c r="B93" s="31" t="s">
        <v>290</v>
      </c>
      <c r="C93" s="34"/>
      <c r="D93" s="34"/>
      <c r="E93" s="34"/>
      <c r="F93" s="35"/>
      <c r="G93" s="6" t="str">
        <f>IF(C93="","",IF(C93="Yes","Please describe the approval process.","Please descibe how access is granted and managed."))</f>
        <v/>
      </c>
      <c r="H93" s="57">
        <v>5</v>
      </c>
      <c r="I93" s="58" t="s">
        <v>461</v>
      </c>
    </row>
    <row r="94" spans="1:9" s="1" customFormat="1" ht="84" customHeight="1" x14ac:dyDescent="0.2">
      <c r="A94" s="14" t="s">
        <v>194</v>
      </c>
      <c r="B94" s="31" t="s">
        <v>391</v>
      </c>
      <c r="C94" s="34"/>
      <c r="D94" s="34"/>
      <c r="E94" s="34"/>
      <c r="F94" s="35"/>
      <c r="G94" s="6"/>
      <c r="H94" s="58">
        <v>6</v>
      </c>
      <c r="I94" s="58" t="s">
        <v>462</v>
      </c>
    </row>
    <row r="95" spans="1:9" s="1" customFormat="1" ht="84" customHeight="1" x14ac:dyDescent="0.2">
      <c r="A95" s="14" t="s">
        <v>406</v>
      </c>
      <c r="B95" s="31" t="s">
        <v>533</v>
      </c>
      <c r="C95" s="34"/>
      <c r="D95" s="34"/>
      <c r="E95" s="34"/>
      <c r="F95" s="35"/>
      <c r="G95" s="6"/>
      <c r="H95" s="58">
        <v>8</v>
      </c>
      <c r="I95" s="58" t="s">
        <v>500</v>
      </c>
    </row>
    <row r="96" spans="1:9" s="1" customFormat="1" ht="84" customHeight="1" x14ac:dyDescent="0.2">
      <c r="A96" s="14" t="s">
        <v>195</v>
      </c>
      <c r="B96" s="31" t="s">
        <v>397</v>
      </c>
      <c r="C96" s="34"/>
      <c r="D96" s="34"/>
      <c r="E96" s="34"/>
      <c r="F96" s="35"/>
      <c r="G96" s="6" t="str">
        <f>IF(C96="","",IF(C96="Yes","","If not reviewed annually, please provide frequency. If not reviewed, please state plans to implmenet periodic access reviews."))</f>
        <v/>
      </c>
      <c r="H96" s="58">
        <v>7</v>
      </c>
      <c r="I96" s="58" t="s">
        <v>463</v>
      </c>
    </row>
    <row r="97" spans="1:9" s="1" customFormat="1" ht="84" customHeight="1" x14ac:dyDescent="0.2">
      <c r="A97" s="14" t="s">
        <v>196</v>
      </c>
      <c r="B97" s="31" t="s">
        <v>390</v>
      </c>
      <c r="C97" s="34"/>
      <c r="D97" s="34"/>
      <c r="E97" s="34"/>
      <c r="F97" s="35"/>
      <c r="G97" s="6" t="str">
        <f>IF(C97="","",IF(C97="Yes","","If not reviewed annually, please provide frequency. If not reviewed, please state plans to implmenet periodic access reviews."))</f>
        <v/>
      </c>
      <c r="H97" s="57">
        <v>9</v>
      </c>
      <c r="I97" s="58" t="s">
        <v>464</v>
      </c>
    </row>
    <row r="98" spans="1:9" s="1" customFormat="1" ht="84" customHeight="1" x14ac:dyDescent="0.2">
      <c r="A98" s="14" t="s">
        <v>197</v>
      </c>
      <c r="B98" s="31" t="s">
        <v>116</v>
      </c>
      <c r="C98" s="36"/>
      <c r="D98" s="36"/>
      <c r="E98" s="36"/>
      <c r="F98" s="37"/>
      <c r="G98" s="6" t="str">
        <f>IF(C98="","",IF(C98="Yes","Submit documentation and/or web resources as to how remote access is provided, including security controls on the access (i.e., is multifactor authentication used?).","Provide details that prevent this capability."))</f>
        <v/>
      </c>
      <c r="H98" s="57"/>
      <c r="I98" s="58"/>
    </row>
    <row r="99" spans="1:9" s="1" customFormat="1" ht="84" customHeight="1" x14ac:dyDescent="0.2">
      <c r="A99" s="14" t="s">
        <v>198</v>
      </c>
      <c r="B99" s="31" t="s">
        <v>576</v>
      </c>
      <c r="C99" s="36"/>
      <c r="D99" s="36"/>
      <c r="E99" s="36"/>
      <c r="F99" s="37"/>
      <c r="G99" s="6"/>
      <c r="H99" s="57">
        <v>14</v>
      </c>
      <c r="I99" s="58" t="s">
        <v>465</v>
      </c>
    </row>
    <row r="100" spans="1:9" s="1" customFormat="1" ht="84" customHeight="1" x14ac:dyDescent="0.2">
      <c r="A100" s="14" t="s">
        <v>199</v>
      </c>
      <c r="B100" s="31" t="s">
        <v>384</v>
      </c>
      <c r="C100" s="34"/>
      <c r="D100" s="34"/>
      <c r="E100" s="34"/>
      <c r="F100" s="35"/>
      <c r="G100" s="8" t="str">
        <f>IF(C100="","",IF(C100="Yes","Please describe the reason for remote access as well as the process for achieving it.","Please describe in sufficient detail."))</f>
        <v/>
      </c>
      <c r="H100" s="57">
        <v>15</v>
      </c>
      <c r="I100" s="58" t="s">
        <v>466</v>
      </c>
    </row>
    <row r="101" spans="1:9" s="1" customFormat="1" ht="84" customHeight="1" x14ac:dyDescent="0.2">
      <c r="A101" s="14" t="s">
        <v>200</v>
      </c>
      <c r="B101" s="31" t="s">
        <v>577</v>
      </c>
      <c r="C101" s="34"/>
      <c r="D101" s="34"/>
      <c r="E101" s="34"/>
      <c r="F101" s="35"/>
      <c r="G101" s="8" t="str">
        <f>IF(C101="","",IF(C101="Yes","Please describe how remote access sessions are ended.",""))</f>
        <v/>
      </c>
      <c r="H101" s="57">
        <v>17</v>
      </c>
      <c r="I101" s="58" t="s">
        <v>467</v>
      </c>
    </row>
    <row r="102" spans="1:9" s="1" customFormat="1" ht="84" customHeight="1" x14ac:dyDescent="0.2">
      <c r="A102" s="14" t="s">
        <v>201</v>
      </c>
      <c r="B102" s="31" t="s">
        <v>321</v>
      </c>
      <c r="C102" s="34"/>
      <c r="D102" s="34"/>
      <c r="E102" s="34"/>
      <c r="F102" s="35"/>
      <c r="G102" s="8" t="str">
        <f>IF(C102="","",IF(C102="Yes","Please describe how this is accomplished.",""))</f>
        <v/>
      </c>
      <c r="H102" s="57">
        <v>19</v>
      </c>
      <c r="I102" s="58" t="s">
        <v>468</v>
      </c>
    </row>
    <row r="103" spans="1:9" s="1" customFormat="1" ht="84" customHeight="1" x14ac:dyDescent="0.2">
      <c r="A103" s="14" t="s">
        <v>202</v>
      </c>
      <c r="B103" s="31" t="s">
        <v>361</v>
      </c>
      <c r="C103" s="34"/>
      <c r="D103" s="34"/>
      <c r="E103" s="34"/>
      <c r="F103" s="35"/>
      <c r="G103" s="8" t="str">
        <f>IF(C103="","",IF(C103="Yes","Please describe the access required to your customer's networks, and these controls.",""))</f>
        <v/>
      </c>
      <c r="H103" s="57">
        <v>16</v>
      </c>
      <c r="I103" s="58" t="s">
        <v>469</v>
      </c>
    </row>
    <row r="104" spans="1:9" ht="48" customHeight="1" x14ac:dyDescent="0.2">
      <c r="A104" s="14" t="s">
        <v>203</v>
      </c>
      <c r="B104" s="31" t="s">
        <v>167</v>
      </c>
      <c r="C104" s="36"/>
      <c r="D104" s="36"/>
      <c r="E104" s="36"/>
      <c r="F104" s="32"/>
      <c r="G104" s="8" t="str">
        <f>IF(C104="","",IF(C104="Yes","Describe how aging requirements are implemented, including expiration timeframes.","Describe plans to support password/passphrase aging requirements."))</f>
        <v/>
      </c>
      <c r="H104" s="57"/>
      <c r="I104" s="58"/>
    </row>
    <row r="105" spans="1:9" s="1" customFormat="1" ht="48" customHeight="1" x14ac:dyDescent="0.2">
      <c r="A105" s="14" t="s">
        <v>204</v>
      </c>
      <c r="B105" s="31" t="s">
        <v>161</v>
      </c>
      <c r="C105" s="36"/>
      <c r="D105" s="36"/>
      <c r="E105" s="36"/>
      <c r="F105" s="32"/>
      <c r="G105" s="8" t="str">
        <f>IF(C105="","",IF(C105="Yes","Describe your password/passphrase complexity requirements.","Describe plans to support password/passphrase complexity requirements."))</f>
        <v/>
      </c>
      <c r="H105" s="57"/>
      <c r="I105" s="58"/>
    </row>
    <row r="106" spans="1:9" s="1" customFormat="1" ht="65.099999999999994" customHeight="1" x14ac:dyDescent="0.2">
      <c r="A106" s="14" t="s">
        <v>205</v>
      </c>
      <c r="B106" s="31" t="s">
        <v>119</v>
      </c>
      <c r="C106" s="36"/>
      <c r="D106" s="36"/>
      <c r="E106" s="36"/>
      <c r="F106" s="38"/>
      <c r="G106" s="8" t="str">
        <f>IF(C106="","",IF(C106="Yes","Describe your documented password/passphrase reset procedures that are currently implemented in the system and/or customer support.","Describe your plans to document system password/passphrase reset procedures."))</f>
        <v/>
      </c>
      <c r="H106" s="57"/>
      <c r="I106" s="58"/>
    </row>
    <row r="107" spans="1:9" s="1" customFormat="1" ht="48" customHeight="1" x14ac:dyDescent="0.2">
      <c r="A107" s="14" t="s">
        <v>206</v>
      </c>
      <c r="B107" s="31" t="s">
        <v>120</v>
      </c>
      <c r="C107" s="36"/>
      <c r="D107" s="36"/>
      <c r="E107" s="36"/>
      <c r="F107" s="32"/>
      <c r="G107" s="8" t="str">
        <f>IF(C107="","",IF(C107="Yes","Provide a detailed description of passwords/passphrases hard-coded into your systems or products.",""))</f>
        <v/>
      </c>
      <c r="H107" s="57"/>
      <c r="I107" s="58"/>
    </row>
    <row r="108" spans="1:9" s="1" customFormat="1" ht="31.15" customHeight="1" x14ac:dyDescent="0.2">
      <c r="A108" s="14" t="s">
        <v>207</v>
      </c>
      <c r="B108" s="31" t="s">
        <v>121</v>
      </c>
      <c r="C108" s="36"/>
      <c r="D108" s="36"/>
      <c r="E108" s="36"/>
      <c r="F108" s="32"/>
      <c r="G108" s="8" t="str">
        <f>IF(C108="","",IF(C108="Yes","Provide a detailed description stating why user account passwords/passphrases are visible by administrators.",""))</f>
        <v/>
      </c>
      <c r="H108" s="57"/>
      <c r="I108" s="58"/>
    </row>
    <row r="109" spans="1:9" s="1" customFormat="1" ht="60" customHeight="1" x14ac:dyDescent="0.2">
      <c r="A109" s="14" t="s">
        <v>289</v>
      </c>
      <c r="B109" s="31" t="s">
        <v>122</v>
      </c>
      <c r="C109" s="36"/>
      <c r="D109" s="36"/>
      <c r="E109" s="36"/>
      <c r="F109" s="32"/>
      <c r="G109" s="8" t="str">
        <f>IF(C109="","",IF(C109="Yes","Describe or provide a reference to the algorithm/strategy that is used to encrypt stored passwords/passphrases.","Provide a detailed description stating why user account passwords/passphrases are not encrypted in storage."))</f>
        <v/>
      </c>
      <c r="H109" s="57"/>
      <c r="I109" s="58"/>
    </row>
    <row r="110" spans="1:9" s="1" customFormat="1" ht="103.5" customHeight="1" x14ac:dyDescent="0.2">
      <c r="A110" s="14" t="s">
        <v>291</v>
      </c>
      <c r="B110" s="31" t="s">
        <v>545</v>
      </c>
      <c r="C110" s="32"/>
      <c r="D110" s="32"/>
      <c r="E110" s="32"/>
      <c r="F110" s="32"/>
      <c r="G110" s="8" t="s">
        <v>165</v>
      </c>
      <c r="H110" s="57"/>
      <c r="I110" s="58"/>
    </row>
    <row r="111" spans="1:9" s="1" customFormat="1" ht="103.5" customHeight="1" x14ac:dyDescent="0.2">
      <c r="A111" s="14" t="s">
        <v>293</v>
      </c>
      <c r="B111" s="31" t="s">
        <v>546</v>
      </c>
      <c r="C111" s="32"/>
      <c r="D111" s="32"/>
      <c r="E111" s="32"/>
      <c r="F111" s="32"/>
      <c r="G111" s="8"/>
      <c r="H111" s="57"/>
      <c r="I111" s="58"/>
    </row>
    <row r="112" spans="1:9" s="1" customFormat="1" ht="54" customHeight="1" x14ac:dyDescent="0.2">
      <c r="A112" s="14" t="s">
        <v>294</v>
      </c>
      <c r="B112" s="31" t="s">
        <v>547</v>
      </c>
      <c r="C112" s="36"/>
      <c r="D112" s="36"/>
      <c r="E112" s="36"/>
      <c r="F112" s="32"/>
      <c r="G112" s="8" t="str">
        <f>IF(C112="","",IF(C112="Yes","Describe all authentication services supported by the system.","Describe any plans to support external authentication services in place of local authentication."))</f>
        <v/>
      </c>
      <c r="H112" s="57"/>
      <c r="I112" s="58"/>
    </row>
    <row r="113" spans="1:9" s="1" customFormat="1" ht="48" customHeight="1" x14ac:dyDescent="0.2">
      <c r="A113" s="14" t="s">
        <v>295</v>
      </c>
      <c r="B113" s="31" t="s">
        <v>286</v>
      </c>
      <c r="C113" s="36"/>
      <c r="D113" s="36"/>
      <c r="E113" s="36"/>
      <c r="F113" s="32"/>
      <c r="G113" s="8" t="str">
        <f>IF(C113="","",IF(C113="Yes","Provide a description of logging capabilities. Ensure that all elements of AAAI-17 are evaluated for your response.","Describe any plans to enable audit logs for these data elements."))</f>
        <v/>
      </c>
      <c r="H113" s="57"/>
      <c r="I113" s="58"/>
    </row>
    <row r="114" spans="1:9" s="1" customFormat="1" ht="96" customHeight="1" x14ac:dyDescent="0.2">
      <c r="A114" s="14" t="s">
        <v>318</v>
      </c>
      <c r="B114" s="31" t="s">
        <v>578</v>
      </c>
      <c r="C114" s="87"/>
      <c r="D114" s="88"/>
      <c r="E114" s="88"/>
      <c r="F114" s="89"/>
      <c r="G114" s="8" t="s">
        <v>163</v>
      </c>
      <c r="H114" s="57"/>
      <c r="I114" s="58"/>
    </row>
    <row r="115" spans="1:9" s="1" customFormat="1" ht="84" customHeight="1" x14ac:dyDescent="0.2">
      <c r="A115" s="14" t="s">
        <v>319</v>
      </c>
      <c r="B115" s="31" t="s">
        <v>579</v>
      </c>
      <c r="C115" s="36"/>
      <c r="D115" s="36"/>
      <c r="E115" s="36"/>
      <c r="F115" s="37"/>
      <c r="G115" s="6" t="str">
        <f>IF(C115="","",IF(C115="Yes","Describe how this is accomplished.","Describe any plans to implement role-based access controls for end-users."))</f>
        <v/>
      </c>
      <c r="H115" s="57"/>
      <c r="I115" s="58"/>
    </row>
    <row r="116" spans="1:9" s="1" customFormat="1" ht="84" customHeight="1" x14ac:dyDescent="0.2">
      <c r="A116" s="14" t="s">
        <v>320</v>
      </c>
      <c r="B116" s="31" t="s">
        <v>580</v>
      </c>
      <c r="C116" s="36"/>
      <c r="D116" s="36"/>
      <c r="E116" s="36"/>
      <c r="F116" s="37"/>
      <c r="G116" s="6" t="str">
        <f>IF(C116="","",IF(C116="Yes","Describe how this is accomplished.","Describe any plans to implement role-based access controls for administrators, as well as how access/what levels of access are currently granted to administrators."))</f>
        <v/>
      </c>
      <c r="H116" s="57"/>
      <c r="I116" s="58"/>
    </row>
    <row r="117" spans="1:9" s="1" customFormat="1" ht="84" customHeight="1" x14ac:dyDescent="0.2">
      <c r="A117" s="14" t="s">
        <v>360</v>
      </c>
      <c r="B117" s="31" t="s">
        <v>582</v>
      </c>
      <c r="C117" s="37"/>
      <c r="D117" s="37"/>
      <c r="E117" s="37"/>
      <c r="F117" s="37"/>
      <c r="G117" s="6" t="s">
        <v>292</v>
      </c>
      <c r="H117" s="57"/>
      <c r="I117" s="58"/>
    </row>
    <row r="118" spans="1:9" s="1" customFormat="1" ht="84" customHeight="1" x14ac:dyDescent="0.2">
      <c r="A118" s="14" t="s">
        <v>407</v>
      </c>
      <c r="B118" s="31" t="s">
        <v>276</v>
      </c>
      <c r="C118" s="36"/>
      <c r="D118" s="36"/>
      <c r="E118" s="36"/>
      <c r="F118" s="37"/>
      <c r="G118" s="39" t="str">
        <f>IF(C118="","",IF(C118="Yes","Describe or attach your policy or process.","Describe how the provisioning and administration of administrative accounts is currently carried out, as well as any plans to implement such a policy or process."))</f>
        <v/>
      </c>
      <c r="H118" s="57"/>
      <c r="I118" s="58"/>
    </row>
    <row r="119" spans="1:9" s="1" customFormat="1" ht="84" customHeight="1" x14ac:dyDescent="0.2">
      <c r="A119" s="14" t="s">
        <v>534</v>
      </c>
      <c r="B119" s="31" t="s">
        <v>581</v>
      </c>
      <c r="C119" s="36"/>
      <c r="D119" s="36"/>
      <c r="E119" s="36"/>
      <c r="F119" s="37"/>
      <c r="G119" s="8" t="str">
        <f>IF(C119="","",IF(C119="Yes","Provide a brief summary and the implement review interval.","Describe plans to implement privileged account access-list reviews to your environment."))</f>
        <v/>
      </c>
      <c r="H119" s="57"/>
      <c r="I119" s="58"/>
    </row>
    <row r="120" spans="1:9" s="1" customFormat="1" ht="61.35" customHeight="1" x14ac:dyDescent="0.2">
      <c r="A120" s="90" t="s">
        <v>172</v>
      </c>
      <c r="B120" s="90"/>
      <c r="C120" s="3" t="s">
        <v>661</v>
      </c>
      <c r="D120" s="3" t="s">
        <v>662</v>
      </c>
      <c r="E120" s="3" t="s">
        <v>114</v>
      </c>
      <c r="F120" s="3" t="s">
        <v>17</v>
      </c>
      <c r="G120" s="4" t="s">
        <v>18</v>
      </c>
      <c r="H120" s="3" t="s">
        <v>395</v>
      </c>
      <c r="I120" s="3" t="s">
        <v>422</v>
      </c>
    </row>
    <row r="121" spans="1:9" s="1" customFormat="1" ht="48" customHeight="1" x14ac:dyDescent="0.2">
      <c r="A121" s="33" t="s">
        <v>208</v>
      </c>
      <c r="B121" s="31" t="s">
        <v>583</v>
      </c>
      <c r="C121" s="36"/>
      <c r="D121" s="36"/>
      <c r="E121" s="36"/>
      <c r="F121" s="32"/>
      <c r="G121" s="8" t="str">
        <f>IF(C121="","",IF(C121="Yes","Provide a reference to your BCP and supporting documentation or submit it along with this fully-populated questionnaire. Please also descibe how you ensure data availability in the event of the loss of systems or facilities.","Briefly summarize your response."))</f>
        <v/>
      </c>
      <c r="H121" s="57">
        <v>21</v>
      </c>
      <c r="I121" s="58" t="s">
        <v>421</v>
      </c>
    </row>
    <row r="122" spans="1:9" s="1" customFormat="1" ht="48" customHeight="1" x14ac:dyDescent="0.2">
      <c r="A122" s="33" t="s">
        <v>209</v>
      </c>
      <c r="B122" s="31" t="s">
        <v>35</v>
      </c>
      <c r="C122" s="36"/>
      <c r="D122" s="36"/>
      <c r="E122" s="36"/>
      <c r="F122" s="32"/>
      <c r="G122" s="8" t="str">
        <f>IF(C122="","",IF(C122="Yes","Describe your BCP component review strategy.","Describe any plans to annually review and update (as needed) your BCP."))</f>
        <v/>
      </c>
      <c r="H122" s="57"/>
      <c r="I122" s="58" t="s">
        <v>425</v>
      </c>
    </row>
    <row r="123" spans="1:9" s="1" customFormat="1" ht="48" customHeight="1" x14ac:dyDescent="0.2">
      <c r="A123" s="33" t="s">
        <v>210</v>
      </c>
      <c r="B123" s="31" t="s">
        <v>36</v>
      </c>
      <c r="C123" s="36"/>
      <c r="D123" s="36"/>
      <c r="E123" s="36"/>
      <c r="F123" s="32"/>
      <c r="G123" s="8" t="str">
        <f>IF(C123="","",IF(C123="Yes","State the date of your last BCP test.","Describe your strategy to implement annual BCP testing."))</f>
        <v/>
      </c>
      <c r="H123" s="57"/>
      <c r="I123" s="58"/>
    </row>
    <row r="124" spans="1:9" s="1" customFormat="1" ht="64.349999999999994" customHeight="1" x14ac:dyDescent="0.2">
      <c r="A124" s="33" t="s">
        <v>211</v>
      </c>
      <c r="B124" s="31" t="s">
        <v>115</v>
      </c>
      <c r="C124" s="36"/>
      <c r="D124" s="36"/>
      <c r="E124" s="36"/>
      <c r="F124" s="32"/>
      <c r="G124" s="6" t="str">
        <f>IF(C124="","",IF(C124="Yes","Provide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24" s="57"/>
      <c r="I124" s="58" t="s">
        <v>426</v>
      </c>
    </row>
    <row r="125" spans="1:9" s="1" customFormat="1" ht="64.349999999999994" customHeight="1" x14ac:dyDescent="0.2">
      <c r="A125" s="33" t="s">
        <v>212</v>
      </c>
      <c r="B125" s="31" t="s">
        <v>584</v>
      </c>
      <c r="C125" s="36"/>
      <c r="D125" s="36"/>
      <c r="E125" s="36"/>
      <c r="F125" s="32"/>
      <c r="G125" s="6" t="str">
        <f>IF(C125="","",IF(C125="Yes","Provide a reference to the requested documents, or provide them when submitting this fully-populated questionnaire.","State any plans to provide system and/or application architecture diagrams."))</f>
        <v/>
      </c>
      <c r="H125" s="57"/>
      <c r="I125" s="58" t="s">
        <v>427</v>
      </c>
    </row>
    <row r="126" spans="1:9" s="1" customFormat="1" ht="64.349999999999994" customHeight="1" x14ac:dyDescent="0.2">
      <c r="A126" s="33" t="s">
        <v>213</v>
      </c>
      <c r="B126" s="31" t="s">
        <v>585</v>
      </c>
      <c r="C126" s="36"/>
      <c r="D126" s="36"/>
      <c r="E126" s="36"/>
      <c r="F126" s="32"/>
      <c r="G126" s="9" t="str">
        <f>IF(C126="","",IF(C126="Yes","Provide details of these procedures (link or attached).","Provide a detailed summary for this response, including your current end-of-life procedures."))</f>
        <v/>
      </c>
      <c r="H126" s="57">
        <v>40</v>
      </c>
      <c r="I126" s="58" t="s">
        <v>428</v>
      </c>
    </row>
    <row r="127" spans="1:9" s="1" customFormat="1" ht="64.349999999999994" customHeight="1" x14ac:dyDescent="0.2">
      <c r="A127" s="33" t="s">
        <v>214</v>
      </c>
      <c r="B127" s="31" t="s">
        <v>548</v>
      </c>
      <c r="C127" s="36"/>
      <c r="D127" s="36"/>
      <c r="E127" s="36"/>
      <c r="F127" s="32"/>
      <c r="G127" s="9" t="str">
        <f>IF(C127="","",IF(C127="Yes","Please provide a brief description of this process.","State plans to support secure deletion for archived/backed-up Utility data."))</f>
        <v/>
      </c>
      <c r="H127" s="57">
        <v>46</v>
      </c>
      <c r="I127" s="58" t="s">
        <v>429</v>
      </c>
    </row>
    <row r="128" spans="1:9" s="1" customFormat="1" ht="75" customHeight="1" x14ac:dyDescent="0.2">
      <c r="A128" s="33" t="s">
        <v>215</v>
      </c>
      <c r="B128" s="31" t="s">
        <v>564</v>
      </c>
      <c r="C128" s="36"/>
      <c r="D128" s="36"/>
      <c r="E128" s="36"/>
      <c r="F128" s="32"/>
      <c r="G128" s="9" t="s">
        <v>565</v>
      </c>
      <c r="H128" s="57">
        <v>24</v>
      </c>
      <c r="I128" s="58" t="s">
        <v>430</v>
      </c>
    </row>
    <row r="129" spans="1:9" s="1" customFormat="1" ht="103.15" customHeight="1" x14ac:dyDescent="0.2">
      <c r="A129" s="33" t="s">
        <v>216</v>
      </c>
      <c r="B129" s="31" t="s">
        <v>586</v>
      </c>
      <c r="C129" s="36"/>
      <c r="D129" s="36"/>
      <c r="E129" s="36"/>
      <c r="F129" s="32"/>
      <c r="G129" s="9" t="str">
        <f>IF(C129="","",IF(C129="Yes","Please descibe this program in adequate detail.",""))</f>
        <v/>
      </c>
      <c r="H129" s="57">
        <v>54</v>
      </c>
      <c r="I129" s="58" t="s">
        <v>431</v>
      </c>
    </row>
    <row r="130" spans="1:9" s="1" customFormat="1" ht="69" customHeight="1" x14ac:dyDescent="0.2">
      <c r="A130" s="33" t="s">
        <v>369</v>
      </c>
      <c r="B130" s="31" t="s">
        <v>356</v>
      </c>
      <c r="C130" s="36"/>
      <c r="D130" s="36"/>
      <c r="E130" s="36"/>
      <c r="F130" s="32"/>
      <c r="G130" s="9"/>
      <c r="H130" s="57">
        <v>58</v>
      </c>
      <c r="I130" s="58" t="s">
        <v>432</v>
      </c>
    </row>
    <row r="131" spans="1:9" s="1" customFormat="1" ht="69" customHeight="1" x14ac:dyDescent="0.2">
      <c r="A131" s="33" t="s">
        <v>217</v>
      </c>
      <c r="B131" s="31" t="s">
        <v>587</v>
      </c>
      <c r="C131" s="36"/>
      <c r="D131" s="36"/>
      <c r="E131" s="36"/>
      <c r="F131" s="32"/>
      <c r="G131" s="9" t="s">
        <v>357</v>
      </c>
      <c r="H131" s="57">
        <v>52</v>
      </c>
      <c r="I131" s="58" t="s">
        <v>507</v>
      </c>
    </row>
    <row r="132" spans="1:9" s="1" customFormat="1" ht="47.1" customHeight="1" x14ac:dyDescent="0.2">
      <c r="A132" s="33" t="s">
        <v>218</v>
      </c>
      <c r="B132" s="31" t="s">
        <v>123</v>
      </c>
      <c r="C132" s="36"/>
      <c r="D132" s="36"/>
      <c r="E132" s="36"/>
      <c r="F132" s="32"/>
      <c r="G132" s="8" t="str">
        <f>IF(C132="","",IF(C132="Yes","Summarize your defined problem/issue escalation plan contained in your BCP.","Describe any plans to define a problem/issue escalation plan in your BCP."))</f>
        <v/>
      </c>
      <c r="H132" s="57"/>
      <c r="I132" s="58"/>
    </row>
    <row r="133" spans="1:9" s="1" customFormat="1" ht="64.349999999999994" customHeight="1" x14ac:dyDescent="0.2">
      <c r="A133" s="33" t="s">
        <v>219</v>
      </c>
      <c r="B133" s="31" t="s">
        <v>588</v>
      </c>
      <c r="C133" s="36"/>
      <c r="D133" s="36"/>
      <c r="E133" s="36"/>
      <c r="F133" s="40"/>
      <c r="G133" s="8" t="str">
        <f>IF(C133="","",IF(C133="Yes","Provide a valid URL to your current DRP or submit it along with this fully-populated questionnaire.","Describe any plans to develop a Disaster Recovery Plan (DRP)."))</f>
        <v/>
      </c>
      <c r="H133" s="57"/>
      <c r="I133" s="58"/>
    </row>
    <row r="134" spans="1:9" s="1" customFormat="1" ht="64.349999999999994" customHeight="1" x14ac:dyDescent="0.2">
      <c r="A134" s="33" t="s">
        <v>220</v>
      </c>
      <c r="B134" s="31" t="s">
        <v>589</v>
      </c>
      <c r="C134" s="36"/>
      <c r="D134" s="36"/>
      <c r="E134" s="36"/>
      <c r="F134" s="32"/>
      <c r="G134" s="39" t="str">
        <f>IF(C134="","",IF(C134="Yes","Provide a links to these documents in Additional Information or attach them with your submission. Include the responsible party for your information security program and the size of your security staff.","Provide a brief summary for this response."))</f>
        <v/>
      </c>
      <c r="H134" s="57"/>
      <c r="I134" s="58"/>
    </row>
    <row r="135" spans="1:9" s="1" customFormat="1" ht="64.349999999999994" customHeight="1" x14ac:dyDescent="0.2">
      <c r="A135" s="33" t="s">
        <v>221</v>
      </c>
      <c r="B135" s="31" t="s">
        <v>174</v>
      </c>
      <c r="C135" s="36"/>
      <c r="D135" s="36"/>
      <c r="E135" s="36"/>
      <c r="F135" s="32"/>
      <c r="G135" s="8" t="str">
        <f>IF(C135="","",IF(C135="Yes","Describe how data will be returned to the Utility and in what format will it be presented, as well as how data will be securely deleted from your systems.","Summarize why the Utility's data won't be returned, and plans to implement secure deletion of Utility data."))</f>
        <v/>
      </c>
      <c r="H135" s="57"/>
      <c r="I135" s="58"/>
    </row>
    <row r="136" spans="1:9" s="1" customFormat="1" ht="64.349999999999994" customHeight="1" x14ac:dyDescent="0.2">
      <c r="A136" s="33" t="s">
        <v>222</v>
      </c>
      <c r="B136" s="31" t="s">
        <v>175</v>
      </c>
      <c r="C136" s="36"/>
      <c r="D136" s="36"/>
      <c r="E136" s="36"/>
      <c r="F136" s="32"/>
      <c r="G136" s="6" t="str">
        <f>IF(C136="","",IF(C136="Yes","Provide a reference to the requested documents, or provide them when submitting this fully-populated questionnaire.","State any plans to develop or provide data retention policies for Utility data."))</f>
        <v/>
      </c>
      <c r="H136" s="57"/>
      <c r="I136" s="58"/>
    </row>
    <row r="137" spans="1:9" s="1" customFormat="1" ht="64.349999999999994" customHeight="1" x14ac:dyDescent="0.2">
      <c r="A137" s="33" t="s">
        <v>284</v>
      </c>
      <c r="B137" s="31" t="s">
        <v>590</v>
      </c>
      <c r="C137" s="36"/>
      <c r="D137" s="36"/>
      <c r="E137" s="36"/>
      <c r="F137" s="32"/>
      <c r="G137" s="8" t="str">
        <f>IF(C137="","",IF(C137="Yes","Provide reference to or attach your data ownership documention.","Describe in detail why ownership rights are not retained by the Utility."))</f>
        <v/>
      </c>
      <c r="H137" s="57"/>
      <c r="I137" s="58"/>
    </row>
    <row r="138" spans="1:9" s="1" customFormat="1" ht="64.349999999999994" customHeight="1" x14ac:dyDescent="0.2">
      <c r="A138" s="33" t="s">
        <v>303</v>
      </c>
      <c r="B138" s="31" t="s">
        <v>67</v>
      </c>
      <c r="C138" s="36"/>
      <c r="D138" s="36"/>
      <c r="E138" s="36"/>
      <c r="F138" s="32"/>
      <c r="G138" s="9" t="str">
        <f>IF(C138="","",IF(C138="Yes","Provide a general summary of your long-term data retention strategy.","State plans to implement a long-term data retention strategy."))</f>
        <v/>
      </c>
      <c r="H138" s="57"/>
      <c r="I138" s="58"/>
    </row>
    <row r="139" spans="1:9" s="1" customFormat="1" ht="64.349999999999994" customHeight="1" x14ac:dyDescent="0.2">
      <c r="A139" s="33" t="s">
        <v>352</v>
      </c>
      <c r="B139" s="31" t="s">
        <v>126</v>
      </c>
      <c r="C139" s="36"/>
      <c r="D139" s="36"/>
      <c r="E139" s="36"/>
      <c r="F139" s="32"/>
      <c r="G139" s="9" t="str">
        <f>IF(C139="","",IF(C139="Yes","Describe how compliance is integrated into your process and procedures.","State plans to handle data in a compliant manner."))</f>
        <v/>
      </c>
      <c r="H139" s="57"/>
      <c r="I139" s="58"/>
    </row>
    <row r="140" spans="1:9" s="1" customFormat="1" ht="53.65" customHeight="1" x14ac:dyDescent="0.2">
      <c r="A140" s="90" t="s">
        <v>168</v>
      </c>
      <c r="B140" s="90"/>
      <c r="C140" s="3" t="s">
        <v>661</v>
      </c>
      <c r="D140" s="3" t="s">
        <v>662</v>
      </c>
      <c r="E140" s="3" t="s">
        <v>114</v>
      </c>
      <c r="F140" s="3" t="s">
        <v>17</v>
      </c>
      <c r="G140" s="4" t="s">
        <v>18</v>
      </c>
      <c r="H140" s="3" t="s">
        <v>395</v>
      </c>
      <c r="I140" s="3" t="s">
        <v>422</v>
      </c>
    </row>
    <row r="141" spans="1:9" s="1" customFormat="1" ht="48" customHeight="1" x14ac:dyDescent="0.2">
      <c r="A141" s="33" t="s">
        <v>37</v>
      </c>
      <c r="B141" s="31" t="s">
        <v>367</v>
      </c>
      <c r="C141" s="36"/>
      <c r="D141" s="36"/>
      <c r="E141" s="36"/>
      <c r="F141" s="32"/>
      <c r="G141" s="8" t="str">
        <f>IF(C141="","",IF(C141="Yes","Summarize your current change management process.","Describe current plans to implement a change management process."))</f>
        <v/>
      </c>
      <c r="H141" s="57"/>
      <c r="I141" s="58"/>
    </row>
    <row r="142" spans="1:9" ht="78" customHeight="1" x14ac:dyDescent="0.2">
      <c r="A142" s="33" t="s">
        <v>38</v>
      </c>
      <c r="B142" s="31" t="s">
        <v>277</v>
      </c>
      <c r="C142" s="36"/>
      <c r="D142" s="36"/>
      <c r="E142" s="36"/>
      <c r="F142" s="37"/>
      <c r="G142" s="8" t="str">
        <f>IF(C142="","",IF(C142="Yes","Describe how this is accomplished within your environment.","Describe your plans to ensure that only application software verifiable as authorized, tested, and approved for production, is placed into production."))</f>
        <v/>
      </c>
      <c r="H142" s="57"/>
      <c r="I142" s="58" t="s">
        <v>502</v>
      </c>
    </row>
    <row r="143" spans="1:9" ht="48" customHeight="1" x14ac:dyDescent="0.2">
      <c r="A143" s="33" t="s">
        <v>39</v>
      </c>
      <c r="B143" s="31" t="s">
        <v>368</v>
      </c>
      <c r="C143" s="36"/>
      <c r="D143" s="36"/>
      <c r="E143" s="36"/>
      <c r="F143" s="37"/>
      <c r="G143" s="8" t="s">
        <v>346</v>
      </c>
      <c r="H143" s="57">
        <v>50</v>
      </c>
      <c r="I143" s="58" t="s">
        <v>423</v>
      </c>
    </row>
    <row r="144" spans="1:9" ht="48" customHeight="1" x14ac:dyDescent="0.2">
      <c r="A144" s="33" t="s">
        <v>40</v>
      </c>
      <c r="B144" s="31" t="s">
        <v>354</v>
      </c>
      <c r="C144" s="36"/>
      <c r="D144" s="36"/>
      <c r="E144" s="36"/>
      <c r="F144" s="32"/>
      <c r="G144" s="9"/>
      <c r="H144" s="57">
        <v>56</v>
      </c>
      <c r="I144" s="58" t="s">
        <v>424</v>
      </c>
    </row>
    <row r="145" spans="1:178" s="1" customFormat="1" ht="48" customHeight="1" x14ac:dyDescent="0.2">
      <c r="A145" s="33" t="s">
        <v>42</v>
      </c>
      <c r="B145" s="31" t="s">
        <v>591</v>
      </c>
      <c r="C145" s="36"/>
      <c r="D145" s="36"/>
      <c r="E145" s="36"/>
      <c r="F145" s="32"/>
      <c r="G145" s="8" t="str">
        <f>IF(C145="","",IF(C145="Yes","Summarize your implemented system configuration management process.","Describe how system configuration management is currently handled in your environment."))</f>
        <v/>
      </c>
      <c r="H145" s="57"/>
      <c r="I145" s="58"/>
    </row>
    <row r="146" spans="1:178" s="1" customFormat="1" ht="48" customHeight="1" x14ac:dyDescent="0.2">
      <c r="A146" s="33" t="s">
        <v>43</v>
      </c>
      <c r="B146" s="31" t="s">
        <v>87</v>
      </c>
      <c r="C146" s="36"/>
      <c r="D146" s="36"/>
      <c r="E146" s="36"/>
      <c r="F146" s="40"/>
      <c r="G146" s="39" t="str">
        <f>IF(C146="","",IF(C146="Yes","Summarize your systems management and configuration strategy.","Describe your intent to implement a systems management and configuration strategy."))</f>
        <v/>
      </c>
      <c r="H146" s="57"/>
      <c r="I146" s="58"/>
    </row>
    <row r="147" spans="1:178" s="1" customFormat="1" ht="90" customHeight="1" x14ac:dyDescent="0.2">
      <c r="A147" s="33" t="s">
        <v>44</v>
      </c>
      <c r="B147" s="31" t="s">
        <v>137</v>
      </c>
      <c r="C147" s="40"/>
      <c r="D147" s="40"/>
      <c r="E147" s="40"/>
      <c r="F147" s="40"/>
      <c r="G147" s="8" t="s">
        <v>131</v>
      </c>
      <c r="H147" s="57"/>
      <c r="I147" s="58"/>
    </row>
    <row r="148" spans="1:178" ht="64.349999999999994" customHeight="1" x14ac:dyDescent="0.2">
      <c r="A148" s="33" t="s">
        <v>45</v>
      </c>
      <c r="B148" s="31" t="s">
        <v>592</v>
      </c>
      <c r="C148" s="36"/>
      <c r="D148" s="36"/>
      <c r="E148" s="36"/>
      <c r="F148" s="37"/>
      <c r="G148" s="9" t="str">
        <f>IF(C148="","",IF(C148="Yes","State how and when the Utility will be notified of major changes to your environment.","Describe plans to establish a formal notification mechanism for major environmental changes."))</f>
        <v/>
      </c>
      <c r="H148" s="57"/>
      <c r="I148" s="58"/>
    </row>
    <row r="149" spans="1:178" ht="64.349999999999994" customHeight="1" x14ac:dyDescent="0.2">
      <c r="A149" s="33" t="s">
        <v>46</v>
      </c>
      <c r="B149" s="31" t="s">
        <v>41</v>
      </c>
      <c r="C149" s="36"/>
      <c r="D149" s="36"/>
      <c r="E149" s="36"/>
      <c r="F149" s="37"/>
      <c r="G149" s="9" t="str">
        <f>IF(C149="","",IF(C149="Yes","Summarize or provide a reference to the process/procedure to manage releases.","Summarize why clients do not have alternative release options."))</f>
        <v/>
      </c>
      <c r="H149" s="57"/>
      <c r="I149" s="58"/>
    </row>
    <row r="150" spans="1:178" ht="64.349999999999994" customHeight="1" x14ac:dyDescent="0.2">
      <c r="A150" s="33" t="s">
        <v>223</v>
      </c>
      <c r="B150" s="31" t="s">
        <v>138</v>
      </c>
      <c r="C150" s="36"/>
      <c r="D150" s="36"/>
      <c r="E150" s="36"/>
      <c r="F150" s="37"/>
      <c r="G150" s="9" t="str">
        <f>IF(C150="","",IF(C150="Yes","Please describe your support strategy.",""))</f>
        <v/>
      </c>
      <c r="H150" s="57"/>
      <c r="I150" s="58"/>
    </row>
    <row r="151" spans="1:178" ht="64.349999999999994" customHeight="1" x14ac:dyDescent="0.2">
      <c r="A151" s="33" t="s">
        <v>47</v>
      </c>
      <c r="B151" s="31" t="s">
        <v>124</v>
      </c>
      <c r="C151" s="36"/>
      <c r="D151" s="36"/>
      <c r="E151" s="36"/>
      <c r="F151" s="37"/>
      <c r="G151" s="8" t="str">
        <f>IF(C151="","",IF(C151="Yes","Describe how this is accomplished within your system.","Describe any business or technical reasons why customizations are not supported."))</f>
        <v/>
      </c>
      <c r="H151" s="57"/>
      <c r="I151" s="58"/>
    </row>
    <row r="152" spans="1:178" ht="64.349999999999994" customHeight="1" x14ac:dyDescent="0.2">
      <c r="A152" s="33" t="s">
        <v>48</v>
      </c>
      <c r="B152" s="31" t="s">
        <v>593</v>
      </c>
      <c r="C152" s="36"/>
      <c r="D152" s="36"/>
      <c r="E152" s="36"/>
      <c r="F152" s="37"/>
      <c r="G152" s="8" t="str">
        <f>IF(C152="","",IF(C152="Yes","Please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2" s="57"/>
      <c r="I152" s="58"/>
    </row>
    <row r="153" spans="1:178" ht="64.349999999999994" customHeight="1" x14ac:dyDescent="0.2">
      <c r="A153" s="33" t="s">
        <v>224</v>
      </c>
      <c r="B153" s="31" t="s">
        <v>594</v>
      </c>
      <c r="C153" s="20"/>
      <c r="D153" s="20"/>
      <c r="E153" s="20"/>
      <c r="F153" s="21"/>
      <c r="G153" s="8" t="str">
        <f>IF(C153="","",IF(C153="Yes","Summarize the policy and procedure(s) guiding risk mitigation practices before critical patches can be applied and provide a copy if available.","State your plans to implement policy and procedure(s) guiding risk mitigation practices before critical patches can be applied."))</f>
        <v/>
      </c>
      <c r="H153" s="57"/>
      <c r="I153" s="58"/>
    </row>
    <row r="154" spans="1:178" ht="48" customHeight="1" x14ac:dyDescent="0.2">
      <c r="A154" s="33" t="s">
        <v>353</v>
      </c>
      <c r="B154" s="31" t="s">
        <v>75</v>
      </c>
      <c r="C154" s="20"/>
      <c r="D154" s="20"/>
      <c r="E154" s="20"/>
      <c r="F154" s="24"/>
      <c r="G154" s="8" t="str">
        <f>IF(C154="","",IF(C154="Yes","Please describe the policy, including required approvals, for firewall change requests.","State your plans to implement a firewall change request policy or procedure."))</f>
        <v/>
      </c>
      <c r="H154" s="57"/>
      <c r="I154" s="58"/>
    </row>
    <row r="155" spans="1:178" ht="54" x14ac:dyDescent="0.2">
      <c r="A155" s="90" t="s">
        <v>173</v>
      </c>
      <c r="B155" s="90"/>
      <c r="C155" s="3" t="s">
        <v>661</v>
      </c>
      <c r="D155" s="3" t="s">
        <v>662</v>
      </c>
      <c r="E155" s="3" t="s">
        <v>114</v>
      </c>
      <c r="F155" s="3" t="s">
        <v>17</v>
      </c>
      <c r="G155" s="4" t="s">
        <v>18</v>
      </c>
      <c r="H155" s="3" t="s">
        <v>395</v>
      </c>
      <c r="I155" s="3" t="s">
        <v>422</v>
      </c>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row>
    <row r="156" spans="1:178" ht="48" customHeight="1" x14ac:dyDescent="0.2">
      <c r="A156" s="33" t="s">
        <v>371</v>
      </c>
      <c r="B156" s="31" t="s">
        <v>370</v>
      </c>
      <c r="C156" s="20"/>
      <c r="D156" s="20"/>
      <c r="E156" s="20"/>
      <c r="F156" s="23"/>
      <c r="G156" s="8" t="str">
        <f>IF(C156="","",IF(C156="Yes","Provide a general summary of your archival environment.","State plans to store long-term media in environmentally protected areas."))</f>
        <v/>
      </c>
      <c r="H156" s="59"/>
      <c r="I156" s="59" t="s">
        <v>434</v>
      </c>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row>
    <row r="157" spans="1:178" ht="48" customHeight="1" x14ac:dyDescent="0.2">
      <c r="A157" s="33" t="s">
        <v>372</v>
      </c>
      <c r="B157" s="31" t="s">
        <v>595</v>
      </c>
      <c r="C157" s="36"/>
      <c r="D157" s="36"/>
      <c r="E157" s="36"/>
      <c r="F157" s="32"/>
      <c r="G157" s="8"/>
      <c r="H157" s="59"/>
      <c r="I157" s="59" t="s">
        <v>435</v>
      </c>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row>
    <row r="158" spans="1:178" ht="48" customHeight="1" x14ac:dyDescent="0.2">
      <c r="A158" s="33" t="s">
        <v>373</v>
      </c>
      <c r="B158" s="31" t="s">
        <v>71</v>
      </c>
      <c r="C158" s="36"/>
      <c r="D158" s="36"/>
      <c r="E158" s="36"/>
      <c r="F158" s="32"/>
      <c r="G158" s="8" t="str">
        <f>IF(C158="","",IF(C158="Yes","","Please describe security controls that prevent unauthorized physical contacts with your devices."))</f>
        <v/>
      </c>
      <c r="H158" s="59"/>
      <c r="I158" s="59"/>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row>
    <row r="159" spans="1:178" ht="48" customHeight="1" x14ac:dyDescent="0.2">
      <c r="A159" s="33" t="s">
        <v>374</v>
      </c>
      <c r="B159" s="31" t="s">
        <v>596</v>
      </c>
      <c r="C159" s="36"/>
      <c r="D159" s="36"/>
      <c r="E159" s="36"/>
      <c r="F159" s="32"/>
      <c r="G159" s="8"/>
      <c r="H159" s="59"/>
      <c r="I159" s="59"/>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row>
    <row r="160" spans="1:178" ht="48" customHeight="1" x14ac:dyDescent="0.2">
      <c r="A160" s="33" t="s">
        <v>375</v>
      </c>
      <c r="B160" s="31" t="s">
        <v>597</v>
      </c>
      <c r="C160" s="34"/>
      <c r="D160" s="34"/>
      <c r="E160" s="34"/>
      <c r="F160" s="26"/>
      <c r="G160" s="8" t="str">
        <f>IF(C160="","",IF(C160="Yes","Please describe how this is accomplished, including the process by which it is ensure that access has been approved before it is provisioned.","Please describe plans to implement appropriate segregation of duties."))</f>
        <v/>
      </c>
      <c r="H160" s="59"/>
      <c r="I160" s="59" t="s">
        <v>436</v>
      </c>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row>
    <row r="161" spans="1:178" ht="48" customHeight="1" x14ac:dyDescent="0.2">
      <c r="A161" s="33" t="s">
        <v>376</v>
      </c>
      <c r="B161" s="31" t="s">
        <v>125</v>
      </c>
      <c r="C161" s="40"/>
      <c r="D161" s="40"/>
      <c r="E161" s="40"/>
      <c r="F161" s="40"/>
      <c r="G161" s="8" t="s">
        <v>63</v>
      </c>
      <c r="H161" s="59"/>
      <c r="I161" s="59"/>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row>
    <row r="162" spans="1:178" ht="48" customHeight="1" x14ac:dyDescent="0.2">
      <c r="A162" s="33" t="s">
        <v>377</v>
      </c>
      <c r="B162" s="31" t="s">
        <v>140</v>
      </c>
      <c r="C162" s="20"/>
      <c r="D162" s="20"/>
      <c r="E162" s="20"/>
      <c r="F162" s="23"/>
      <c r="G162" s="8" t="str">
        <f>IF(C162="","",IF(C162="Yes","","State plans to adhere to DoD 5220.22-M and/or NIST SP 800-88 standards."))</f>
        <v/>
      </c>
      <c r="H162" s="59"/>
      <c r="I162" s="59"/>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row>
    <row r="163" spans="1:178" ht="48" customHeight="1" x14ac:dyDescent="0.2">
      <c r="A163" s="33" t="s">
        <v>378</v>
      </c>
      <c r="B163" s="31" t="s">
        <v>73</v>
      </c>
      <c r="C163" s="20"/>
      <c r="D163" s="20"/>
      <c r="E163" s="20"/>
      <c r="F163" s="23"/>
      <c r="G163" s="8" t="str">
        <f>IF(C163="","",IF(C163="Yes","Describe how and where WAFs are currently implemented in your environment.","Describe any plans to implement a WAF in your environment."))</f>
        <v/>
      </c>
      <c r="H163" s="59"/>
      <c r="I163" s="59"/>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row>
    <row r="164" spans="1:178" ht="48" customHeight="1" x14ac:dyDescent="0.2">
      <c r="A164" s="33" t="s">
        <v>379</v>
      </c>
      <c r="B164" s="31" t="s">
        <v>74</v>
      </c>
      <c r="C164" s="20"/>
      <c r="D164" s="20"/>
      <c r="E164" s="20"/>
      <c r="F164" s="23"/>
      <c r="G164" s="8" t="str">
        <f>IF(C164="","",IF(C164="Yes","Describe how and where SPI firewalls are currently implemented in your environment.","State any plans to implement SPI firewalls in your environment."))</f>
        <v/>
      </c>
      <c r="H164" s="59"/>
      <c r="I164" s="59"/>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row>
    <row r="165" spans="1:178" ht="48" customHeight="1" x14ac:dyDescent="0.2">
      <c r="A165" s="33" t="s">
        <v>225</v>
      </c>
      <c r="B165" s="31" t="s">
        <v>598</v>
      </c>
      <c r="C165" s="23"/>
      <c r="D165" s="23"/>
      <c r="E165" s="23"/>
      <c r="F165" s="23"/>
      <c r="G165" s="8"/>
      <c r="H165" s="59"/>
      <c r="I165" s="59"/>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row>
    <row r="166" spans="1:178" ht="48" customHeight="1" x14ac:dyDescent="0.2">
      <c r="A166" s="33" t="s">
        <v>226</v>
      </c>
      <c r="B166" s="31" t="s">
        <v>76</v>
      </c>
      <c r="C166" s="20"/>
      <c r="D166" s="20"/>
      <c r="E166" s="20"/>
      <c r="F166" s="23"/>
      <c r="G166" s="8" t="str">
        <f>IF(C166="","",IF(C166="Yes","","Please describe for which network(s) and/or tool(s) audit logs are not available."))</f>
        <v/>
      </c>
      <c r="H166" s="59"/>
      <c r="I166" s="59"/>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row>
    <row r="167" spans="1:178" ht="48" customHeight="1" x14ac:dyDescent="0.2">
      <c r="A167" s="33" t="s">
        <v>227</v>
      </c>
      <c r="B167" s="31" t="s">
        <v>176</v>
      </c>
      <c r="C167" s="20"/>
      <c r="D167" s="20"/>
      <c r="E167" s="20"/>
      <c r="F167" s="23"/>
      <c r="G167" s="8" t="str">
        <f>IF(C167="","",IF(C167="Yes","Please describe how the development environments/systems are isolated.","Describe any plans to segregate development environments/systems from other networks."))</f>
        <v/>
      </c>
      <c r="H167" s="59"/>
      <c r="I167" s="59"/>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row>
    <row r="168" spans="1:178" ht="48" customHeight="1" x14ac:dyDescent="0.2">
      <c r="A168" s="33" t="s">
        <v>228</v>
      </c>
      <c r="B168" s="31" t="s">
        <v>166</v>
      </c>
      <c r="C168" s="23"/>
      <c r="D168" s="23"/>
      <c r="E168" s="23"/>
      <c r="F168" s="23"/>
      <c r="G168" s="8"/>
      <c r="H168" s="59"/>
      <c r="I168" s="59"/>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row>
    <row r="169" spans="1:178" ht="48" customHeight="1" x14ac:dyDescent="0.2">
      <c r="A169" s="33" t="s">
        <v>229</v>
      </c>
      <c r="B169" s="31" t="s">
        <v>68</v>
      </c>
      <c r="C169" s="20"/>
      <c r="D169" s="20"/>
      <c r="E169" s="20"/>
      <c r="F169" s="23"/>
      <c r="G169" s="8" t="str">
        <f>IF(C169="","",IF(C169="Yes","Please provide a copy of the SOC 2 Type 2 audit report.","Describe any plans to conduct a SOC 2 Type 2 audit."))</f>
        <v/>
      </c>
      <c r="H169" s="59"/>
      <c r="I169" s="59"/>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row>
    <row r="170" spans="1:178" ht="48" customHeight="1" x14ac:dyDescent="0.2">
      <c r="A170" s="33" t="s">
        <v>230</v>
      </c>
      <c r="B170" s="31" t="s">
        <v>69</v>
      </c>
      <c r="C170" s="20"/>
      <c r="D170" s="20"/>
      <c r="E170" s="20"/>
      <c r="F170" s="23"/>
      <c r="G170" s="8"/>
      <c r="H170" s="59"/>
      <c r="I170" s="59"/>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row>
    <row r="171" spans="1:178" ht="48" customHeight="1" x14ac:dyDescent="0.2">
      <c r="A171" s="33" t="s">
        <v>231</v>
      </c>
      <c r="B171" s="31" t="s">
        <v>70</v>
      </c>
      <c r="C171" s="20"/>
      <c r="D171" s="20"/>
      <c r="E171" s="20"/>
      <c r="F171" s="23"/>
      <c r="G171" s="8" t="str">
        <f>IF(C171="","",IF(C171="Yes","","Please describe how your servers are physically separated/isolated from those of other customers."))</f>
        <v/>
      </c>
      <c r="H171" s="59"/>
      <c r="I171" s="59"/>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row>
    <row r="172" spans="1:178" ht="48" customHeight="1" x14ac:dyDescent="0.2">
      <c r="A172" s="33" t="s">
        <v>232</v>
      </c>
      <c r="B172" s="31" t="s">
        <v>72</v>
      </c>
      <c r="C172" s="20"/>
      <c r="D172" s="20"/>
      <c r="E172" s="20"/>
      <c r="F172" s="23"/>
      <c r="G172" s="8"/>
      <c r="H172" s="59"/>
      <c r="I172" s="59"/>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row>
    <row r="173" spans="1:178" ht="48" customHeight="1" x14ac:dyDescent="0.2">
      <c r="A173" s="33" t="s">
        <v>233</v>
      </c>
      <c r="B173" s="31" t="s">
        <v>599</v>
      </c>
      <c r="C173" s="20"/>
      <c r="D173" s="20"/>
      <c r="E173" s="20"/>
      <c r="F173" s="23"/>
      <c r="G173" s="8"/>
      <c r="H173" s="59"/>
      <c r="I173" s="59"/>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row>
    <row r="174" spans="1:178" ht="48" customHeight="1" x14ac:dyDescent="0.2">
      <c r="A174" s="33" t="s">
        <v>234</v>
      </c>
      <c r="B174" s="31" t="s">
        <v>600</v>
      </c>
      <c r="C174" s="20"/>
      <c r="D174" s="20"/>
      <c r="E174" s="20"/>
      <c r="F174" s="23"/>
      <c r="G174" s="8"/>
      <c r="H174" s="59"/>
      <c r="I174" s="59"/>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row>
    <row r="175" spans="1:178" ht="48" customHeight="1" x14ac:dyDescent="0.2">
      <c r="A175" s="33" t="s">
        <v>235</v>
      </c>
      <c r="B175" s="31" t="s">
        <v>601</v>
      </c>
      <c r="C175" s="20"/>
      <c r="D175" s="20"/>
      <c r="E175" s="20"/>
      <c r="F175" s="23"/>
      <c r="G175" s="8"/>
      <c r="H175" s="59"/>
      <c r="I175" s="59"/>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row>
    <row r="176" spans="1:178" ht="48" customHeight="1" x14ac:dyDescent="0.2">
      <c r="A176" s="33" t="s">
        <v>236</v>
      </c>
      <c r="B176" s="31" t="s">
        <v>82</v>
      </c>
      <c r="C176" s="20"/>
      <c r="D176" s="20"/>
      <c r="E176" s="20"/>
      <c r="F176" s="23"/>
      <c r="G176" s="8"/>
      <c r="H176" s="59"/>
      <c r="I176" s="59"/>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row>
    <row r="177" spans="1:178" ht="48" customHeight="1" x14ac:dyDescent="0.2">
      <c r="A177" s="33" t="s">
        <v>237</v>
      </c>
      <c r="B177" s="31" t="s">
        <v>117</v>
      </c>
      <c r="C177" s="20"/>
      <c r="D177" s="20"/>
      <c r="E177" s="20"/>
      <c r="F177" s="23"/>
      <c r="G177" s="8"/>
      <c r="H177" s="59"/>
      <c r="I177" s="59"/>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row>
    <row r="178" spans="1:178" ht="48" customHeight="1" x14ac:dyDescent="0.2">
      <c r="A178" s="33" t="s">
        <v>238</v>
      </c>
      <c r="B178" s="31" t="s">
        <v>118</v>
      </c>
      <c r="C178" s="20"/>
      <c r="D178" s="20"/>
      <c r="E178" s="20"/>
      <c r="F178" s="23"/>
      <c r="G178" s="8"/>
      <c r="H178" s="59"/>
      <c r="I178" s="59"/>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row>
    <row r="179" spans="1:178" ht="48" customHeight="1" x14ac:dyDescent="0.2">
      <c r="A179" s="33" t="s">
        <v>287</v>
      </c>
      <c r="B179" s="31" t="s">
        <v>278</v>
      </c>
      <c r="C179" s="20"/>
      <c r="D179" s="20"/>
      <c r="E179" s="20"/>
      <c r="F179" s="23"/>
      <c r="G179" s="8"/>
      <c r="H179" s="59"/>
      <c r="I179" s="59"/>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row>
    <row r="180" spans="1:178" ht="54" x14ac:dyDescent="0.2">
      <c r="A180" s="90" t="s">
        <v>177</v>
      </c>
      <c r="B180" s="90"/>
      <c r="C180" s="3" t="s">
        <v>661</v>
      </c>
      <c r="D180" s="3" t="s">
        <v>662</v>
      </c>
      <c r="E180" s="3" t="s">
        <v>114</v>
      </c>
      <c r="F180" s="3" t="s">
        <v>17</v>
      </c>
      <c r="G180" s="4" t="s">
        <v>18</v>
      </c>
      <c r="H180" s="3" t="s">
        <v>395</v>
      </c>
      <c r="I180" s="3" t="s">
        <v>422</v>
      </c>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row>
    <row r="181" spans="1:178" ht="37.15" customHeight="1" x14ac:dyDescent="0.2">
      <c r="A181" s="33" t="s">
        <v>49</v>
      </c>
      <c r="B181" s="31" t="s">
        <v>602</v>
      </c>
      <c r="C181" s="20"/>
      <c r="D181" s="20"/>
      <c r="E181" s="20"/>
      <c r="F181" s="22"/>
      <c r="G181" s="8" t="str">
        <f>IF(C181="","",IF(C181="Yes","Please state the algorithm/method used to achieve encryption in transit.","Please describe plans to encrypt data-in-transit."))</f>
        <v/>
      </c>
      <c r="H181" s="59">
        <v>18</v>
      </c>
      <c r="I181" s="59" t="s">
        <v>437</v>
      </c>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row>
    <row r="182" spans="1:178" ht="57" x14ac:dyDescent="0.2">
      <c r="A182" s="33" t="s">
        <v>239</v>
      </c>
      <c r="B182" s="31" t="s">
        <v>603</v>
      </c>
      <c r="C182" s="20"/>
      <c r="D182" s="20"/>
      <c r="E182" s="20"/>
      <c r="F182" s="22"/>
      <c r="G182" s="8"/>
      <c r="H182" s="59">
        <v>44</v>
      </c>
      <c r="I182" s="59" t="s">
        <v>438</v>
      </c>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row>
    <row r="183" spans="1:178" ht="64.349999999999994" customHeight="1" x14ac:dyDescent="0.2">
      <c r="A183" s="33" t="s">
        <v>50</v>
      </c>
      <c r="B183" s="31" t="s">
        <v>549</v>
      </c>
      <c r="C183" s="20"/>
      <c r="D183" s="20"/>
      <c r="E183" s="20"/>
      <c r="F183" s="22"/>
      <c r="G183" s="8" t="str">
        <f>IF(C183="","",IF(C183="Yes","Please state the algorithm/method used to achieve encryption in transit.","Please describe plans to encrypt data-in-transit."))</f>
        <v/>
      </c>
      <c r="H183" s="59">
        <v>42</v>
      </c>
      <c r="I183" s="59" t="s">
        <v>439</v>
      </c>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row>
    <row r="184" spans="1:178" ht="64.349999999999994" customHeight="1" x14ac:dyDescent="0.2">
      <c r="A184" s="33" t="s">
        <v>51</v>
      </c>
      <c r="B184" s="31" t="s">
        <v>604</v>
      </c>
      <c r="C184" s="20"/>
      <c r="D184" s="20"/>
      <c r="E184" s="20"/>
      <c r="F184" s="22"/>
      <c r="G184" s="8" t="str">
        <f>IF(C184="","",IF(C184="Yes","Please state the algorithm/method used to achieve encryption at rest.","Please describe plans to encrypt data-at-rest."))</f>
        <v/>
      </c>
      <c r="H184" s="59"/>
      <c r="I184" s="59" t="s">
        <v>440</v>
      </c>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row>
    <row r="185" spans="1:178" ht="64.349999999999994" customHeight="1" x14ac:dyDescent="0.2">
      <c r="A185" s="33" t="s">
        <v>52</v>
      </c>
      <c r="B185" s="31" t="s">
        <v>66</v>
      </c>
      <c r="C185" s="20"/>
      <c r="D185" s="20"/>
      <c r="E185" s="20"/>
      <c r="F185" s="22"/>
      <c r="G185" s="8"/>
      <c r="H185" s="59"/>
      <c r="I185" s="59"/>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row>
    <row r="186" spans="1:178" ht="64.349999999999994" customHeight="1" x14ac:dyDescent="0.2">
      <c r="A186" s="33" t="s">
        <v>53</v>
      </c>
      <c r="B186" s="31" t="s">
        <v>605</v>
      </c>
      <c r="C186" s="20"/>
      <c r="D186" s="20"/>
      <c r="E186" s="20"/>
      <c r="F186" s="22"/>
      <c r="G186" s="8"/>
      <c r="H186" s="59"/>
      <c r="I186" s="59" t="s">
        <v>441</v>
      </c>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row>
    <row r="187" spans="1:178" ht="64.349999999999994" customHeight="1" x14ac:dyDescent="0.2">
      <c r="A187" s="33" t="s">
        <v>54</v>
      </c>
      <c r="B187" s="31" t="s">
        <v>606</v>
      </c>
      <c r="C187" s="36"/>
      <c r="D187" s="36"/>
      <c r="E187" s="36"/>
      <c r="F187" s="40"/>
      <c r="G187" s="8"/>
      <c r="H187" s="59"/>
      <c r="I187" s="59" t="s">
        <v>442</v>
      </c>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row>
    <row r="188" spans="1:178" ht="64.349999999999994" customHeight="1" x14ac:dyDescent="0.2">
      <c r="A188" s="33" t="s">
        <v>55</v>
      </c>
      <c r="B188" s="31" t="s">
        <v>385</v>
      </c>
      <c r="C188" s="36"/>
      <c r="D188" s="36"/>
      <c r="E188" s="36"/>
      <c r="F188" s="40"/>
      <c r="G188" s="8" t="str">
        <f>IF(C188="","",IF(C188="Yes","Please desctibe or provide a reference to this program.",""))</f>
        <v/>
      </c>
      <c r="H188" s="59">
        <v>38</v>
      </c>
      <c r="I188" s="59" t="s">
        <v>443</v>
      </c>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row>
    <row r="189" spans="1:178" ht="64.349999999999994" customHeight="1" x14ac:dyDescent="0.2">
      <c r="A189" s="33" t="s">
        <v>56</v>
      </c>
      <c r="B189" s="31" t="s">
        <v>550</v>
      </c>
      <c r="C189" s="36"/>
      <c r="D189" s="36"/>
      <c r="E189" s="36"/>
      <c r="F189" s="40"/>
      <c r="G189" s="8" t="str">
        <f>IF(C189="","",IF(C189="Yes","","Please identify technologies that are not covered by your program, and how data is secured as it pertains to these technologies."))</f>
        <v/>
      </c>
      <c r="H189" s="59">
        <v>41</v>
      </c>
      <c r="I189" s="59" t="s">
        <v>444</v>
      </c>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row>
    <row r="190" spans="1:178" ht="64.349999999999994" customHeight="1" x14ac:dyDescent="0.2">
      <c r="A190" s="33" t="s">
        <v>57</v>
      </c>
      <c r="B190" s="31" t="s">
        <v>340</v>
      </c>
      <c r="C190" s="36"/>
      <c r="D190" s="36"/>
      <c r="E190" s="36"/>
      <c r="F190" s="40"/>
      <c r="G190" s="8"/>
      <c r="H190" s="59">
        <v>43</v>
      </c>
      <c r="I190" s="59" t="s">
        <v>445</v>
      </c>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row>
    <row r="191" spans="1:178" ht="64.349999999999994" customHeight="1" x14ac:dyDescent="0.2">
      <c r="A191" s="33" t="s">
        <v>58</v>
      </c>
      <c r="B191" s="31" t="s">
        <v>342</v>
      </c>
      <c r="C191" s="36"/>
      <c r="D191" s="36"/>
      <c r="E191" s="36"/>
      <c r="F191" s="40"/>
      <c r="G191" s="8" t="str">
        <f>IF(C191="","",IF(C191="Yes","Please describe your data loss prevention program and platforms supported.","State any plans to implement data loss prevention capabilities."))</f>
        <v/>
      </c>
      <c r="H191" s="59">
        <v>45</v>
      </c>
      <c r="I191" s="59" t="s">
        <v>446</v>
      </c>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row>
    <row r="192" spans="1:178" ht="64.349999999999994" customHeight="1" x14ac:dyDescent="0.2">
      <c r="A192" s="33" t="s">
        <v>240</v>
      </c>
      <c r="B192" s="31" t="s">
        <v>348</v>
      </c>
      <c r="C192" s="36"/>
      <c r="D192" s="36"/>
      <c r="E192" s="36"/>
      <c r="F192" s="40"/>
      <c r="G192" s="8" t="str">
        <f>IF(C192="","",IF(C192="Yes","Please describe the process(es) and/or control(s).",""))</f>
        <v/>
      </c>
      <c r="H192" s="59">
        <v>52</v>
      </c>
      <c r="I192" s="59" t="s">
        <v>433</v>
      </c>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row>
    <row r="193" spans="1:178" ht="48" customHeight="1" x14ac:dyDescent="0.2">
      <c r="A193" s="33" t="s">
        <v>241</v>
      </c>
      <c r="B193" s="31" t="s">
        <v>539</v>
      </c>
      <c r="C193" s="36"/>
      <c r="D193" s="36"/>
      <c r="E193" s="36"/>
      <c r="F193" s="32"/>
      <c r="G193" s="8" t="str">
        <f>IF(C193="","",IF(C193="Yes","Describe the on-site staff capabilities.","State any plans to staff data centers 24x7x365."))</f>
        <v/>
      </c>
      <c r="H193" s="59"/>
      <c r="I193" s="59"/>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row>
    <row r="194" spans="1:178" ht="64.349999999999994" customHeight="1" x14ac:dyDescent="0.2">
      <c r="A194" s="33" t="s">
        <v>59</v>
      </c>
      <c r="B194" s="31" t="s">
        <v>136</v>
      </c>
      <c r="C194" s="36"/>
      <c r="D194" s="36"/>
      <c r="E194" s="36"/>
      <c r="F194" s="40"/>
      <c r="G194" s="8" t="str">
        <f>IF(C194="","",IF(C194="Yes","Please describe why logical segregation of data is not implemented/possible in your environment.","Please describe how data is segregated."))</f>
        <v/>
      </c>
      <c r="H194" s="59"/>
      <c r="I194" s="59"/>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row>
    <row r="195" spans="1:178" ht="64.349999999999994" customHeight="1" x14ac:dyDescent="0.2">
      <c r="A195" s="33" t="s">
        <v>61</v>
      </c>
      <c r="B195" s="31" t="s">
        <v>607</v>
      </c>
      <c r="C195" s="36"/>
      <c r="D195" s="36"/>
      <c r="E195" s="36"/>
      <c r="F195" s="40"/>
      <c r="G195" s="8"/>
      <c r="H195" s="59"/>
      <c r="I195" s="59"/>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row>
    <row r="196" spans="1:178" ht="64.349999999999994" customHeight="1" x14ac:dyDescent="0.2">
      <c r="A196" s="33" t="s">
        <v>62</v>
      </c>
      <c r="B196" s="31" t="s">
        <v>153</v>
      </c>
      <c r="C196" s="36"/>
      <c r="D196" s="36"/>
      <c r="E196" s="36"/>
      <c r="F196" s="40"/>
      <c r="G196" s="8" t="str">
        <f>IF(C196="","",IF(C196="Yes","Please state the algorithm/method used to achieve encryption of databases.","Please describe plans to emcrypt databases."))</f>
        <v/>
      </c>
      <c r="H196" s="59"/>
      <c r="I196" s="59"/>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row>
    <row r="197" spans="1:178" ht="64.349999999999994" customHeight="1" x14ac:dyDescent="0.2">
      <c r="A197" s="33" t="s">
        <v>64</v>
      </c>
      <c r="B197" s="31" t="s">
        <v>608</v>
      </c>
      <c r="C197" s="36"/>
      <c r="D197" s="36"/>
      <c r="E197" s="36"/>
      <c r="F197" s="40"/>
      <c r="G197" s="8" t="str">
        <f>IF(C197="","",IF(C197="Yes","Please state the algorithm/method used to encrypt unstructured data.","Please describe plans to implement the encryption of unstructured data."))</f>
        <v/>
      </c>
      <c r="H197" s="59"/>
      <c r="I197" s="59"/>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row>
    <row r="198" spans="1:178" ht="64.349999999999994" customHeight="1" x14ac:dyDescent="0.2">
      <c r="A198" s="33" t="s">
        <v>242</v>
      </c>
      <c r="B198" s="31" t="s">
        <v>162</v>
      </c>
      <c r="C198" s="36"/>
      <c r="D198" s="36"/>
      <c r="E198" s="36"/>
      <c r="F198" s="40"/>
      <c r="G198" s="8" t="str">
        <f>IF(C198="","",IF(C198="Yes","Please describe how workstations and mobile devices are encrypted.","Describe plans to encrypt workstations and/or mobile devices."))</f>
        <v/>
      </c>
      <c r="H198" s="59"/>
      <c r="I198" s="59"/>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row>
    <row r="199" spans="1:178" ht="64.349999999999994" customHeight="1" x14ac:dyDescent="0.2">
      <c r="A199" s="33" t="s">
        <v>338</v>
      </c>
      <c r="B199" s="31" t="s">
        <v>139</v>
      </c>
      <c r="C199" s="36"/>
      <c r="D199" s="36"/>
      <c r="E199" s="36"/>
      <c r="F199" s="40"/>
      <c r="G199" s="8"/>
      <c r="H199" s="59"/>
      <c r="I199" s="59"/>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row>
    <row r="200" spans="1:178" ht="64.349999999999994" customHeight="1" x14ac:dyDescent="0.2">
      <c r="A200" s="33" t="s">
        <v>339</v>
      </c>
      <c r="B200" s="31" t="s">
        <v>609</v>
      </c>
      <c r="C200" s="36"/>
      <c r="D200" s="36"/>
      <c r="E200" s="36"/>
      <c r="F200" s="40"/>
      <c r="G200" s="8" t="str">
        <f>IF(C200="","",IF(C200="Yes","Please state the algorithm/method used to achieve encrypt data over TCP/IP.","Please describe plans to encrypt data over TCP/IP."))</f>
        <v/>
      </c>
      <c r="H200" s="59"/>
      <c r="I200" s="59" t="s">
        <v>440</v>
      </c>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row>
    <row r="201" spans="1:178" ht="64.349999999999994" customHeight="1" x14ac:dyDescent="0.2">
      <c r="A201" s="33" t="s">
        <v>341</v>
      </c>
      <c r="B201" s="31" t="s">
        <v>610</v>
      </c>
      <c r="C201" s="22"/>
      <c r="D201" s="22"/>
      <c r="E201" s="22"/>
      <c r="F201" s="22"/>
      <c r="G201" s="8" t="s">
        <v>281</v>
      </c>
      <c r="H201" s="59"/>
      <c r="I201" s="59"/>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row>
    <row r="202" spans="1:178" ht="64.349999999999994" customHeight="1" x14ac:dyDescent="0.2">
      <c r="A202" s="33" t="s">
        <v>347</v>
      </c>
      <c r="B202" s="31" t="s">
        <v>611</v>
      </c>
      <c r="C202" s="20"/>
      <c r="D202" s="20"/>
      <c r="E202" s="20"/>
      <c r="F202" s="22"/>
      <c r="G202" s="8" t="str">
        <f>IF(C202="","",IF(C202="Yes","Please list all cloud providers that will host Utility data.",""))</f>
        <v/>
      </c>
      <c r="H202" s="59"/>
      <c r="I202" s="59"/>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row>
    <row r="203" spans="1:178" ht="64.349999999999994" customHeight="1" x14ac:dyDescent="0.2">
      <c r="A203" s="33" t="s">
        <v>380</v>
      </c>
      <c r="B203" s="31" t="s">
        <v>60</v>
      </c>
      <c r="C203" s="22"/>
      <c r="D203" s="22"/>
      <c r="E203" s="22"/>
      <c r="F203" s="22"/>
      <c r="G203" s="8"/>
      <c r="H203" s="59"/>
      <c r="I203" s="59"/>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row>
    <row r="204" spans="1:178" ht="64.349999999999994" customHeight="1" x14ac:dyDescent="0.2">
      <c r="A204" s="33" t="s">
        <v>408</v>
      </c>
      <c r="B204" s="31" t="s">
        <v>65</v>
      </c>
      <c r="C204" s="20"/>
      <c r="D204" s="20"/>
      <c r="E204" s="20"/>
      <c r="F204" s="22"/>
      <c r="G204" s="8" t="str">
        <f>IF(C204="","",IF(C204="Yes","Please specify the algorithm used to encrypt data backups.","State any plans to encrypt data backups."))</f>
        <v/>
      </c>
      <c r="H204" s="59"/>
      <c r="I204" s="59"/>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row>
    <row r="205" spans="1:178" ht="64.349999999999994" customHeight="1" x14ac:dyDescent="0.2">
      <c r="A205" s="33" t="s">
        <v>409</v>
      </c>
      <c r="B205" s="31" t="s">
        <v>612</v>
      </c>
      <c r="C205" s="20"/>
      <c r="D205" s="20"/>
      <c r="E205" s="20"/>
      <c r="F205" s="22"/>
      <c r="G205" s="8"/>
      <c r="H205" s="59"/>
      <c r="I205" s="59"/>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row>
    <row r="206" spans="1:178" ht="64.349999999999994" customHeight="1" x14ac:dyDescent="0.2">
      <c r="A206" s="90" t="s">
        <v>178</v>
      </c>
      <c r="B206" s="90"/>
      <c r="C206" s="3" t="s">
        <v>661</v>
      </c>
      <c r="D206" s="3" t="s">
        <v>662</v>
      </c>
      <c r="E206" s="3" t="s">
        <v>114</v>
      </c>
      <c r="F206" s="3" t="s">
        <v>17</v>
      </c>
      <c r="G206" s="3" t="s">
        <v>18</v>
      </c>
      <c r="H206" s="3" t="s">
        <v>395</v>
      </c>
      <c r="I206" s="3" t="s">
        <v>422</v>
      </c>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row>
    <row r="207" spans="1:178" ht="64.349999999999994" customHeight="1" x14ac:dyDescent="0.2">
      <c r="A207" s="14" t="s">
        <v>243</v>
      </c>
      <c r="B207" s="5" t="s">
        <v>508</v>
      </c>
      <c r="C207" s="20"/>
      <c r="D207" s="20"/>
      <c r="E207" s="20"/>
      <c r="F207" s="22"/>
      <c r="G207" s="8" t="str">
        <f>IF(C207="","",IF(C207="Yes","Please describe your cyber incident response process, including when notification would be made to customers.","State plans to develop and implement a cyber incident response process."))</f>
        <v/>
      </c>
      <c r="H207" s="59">
        <v>25</v>
      </c>
      <c r="I207" s="59" t="s">
        <v>447</v>
      </c>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row>
    <row r="208" spans="1:178" ht="64.349999999999994" customHeight="1" x14ac:dyDescent="0.2">
      <c r="A208" s="14" t="s">
        <v>244</v>
      </c>
      <c r="B208" s="5" t="s">
        <v>400</v>
      </c>
      <c r="C208" s="20"/>
      <c r="D208" s="20"/>
      <c r="E208" s="20"/>
      <c r="F208" s="22"/>
      <c r="G208" s="8"/>
      <c r="H208" s="59">
        <v>28</v>
      </c>
      <c r="I208" s="59" t="s">
        <v>448</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row>
    <row r="209" spans="1:178" ht="120" customHeight="1" x14ac:dyDescent="0.2">
      <c r="A209" s="14" t="s">
        <v>245</v>
      </c>
      <c r="B209" s="5" t="s">
        <v>401</v>
      </c>
      <c r="C209" s="20"/>
      <c r="D209" s="20"/>
      <c r="E209" s="20"/>
      <c r="F209" s="22"/>
      <c r="G209" s="8" t="s">
        <v>402</v>
      </c>
      <c r="H209" s="59">
        <v>36</v>
      </c>
      <c r="I209" s="59" t="s">
        <v>449</v>
      </c>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row>
    <row r="210" spans="1:178" ht="64.349999999999994" customHeight="1" x14ac:dyDescent="0.2">
      <c r="A210" s="14" t="s">
        <v>328</v>
      </c>
      <c r="B210" s="31" t="s">
        <v>613</v>
      </c>
      <c r="C210" s="20"/>
      <c r="D210" s="20"/>
      <c r="E210" s="20"/>
      <c r="F210" s="22"/>
      <c r="G210" s="8"/>
      <c r="H210" s="59" t="s">
        <v>509</v>
      </c>
      <c r="I210" s="59" t="s">
        <v>510</v>
      </c>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row>
    <row r="211" spans="1:178" ht="72" customHeight="1" x14ac:dyDescent="0.2">
      <c r="A211" s="14" t="s">
        <v>326</v>
      </c>
      <c r="B211" s="31" t="s">
        <v>317</v>
      </c>
      <c r="C211" s="34"/>
      <c r="D211" s="34"/>
      <c r="E211" s="34"/>
      <c r="F211" s="41"/>
      <c r="G211" s="8" t="str">
        <f>IF(C211="","",IF(C211="Yes","Please describe this process.","State plans to develop and implement such a process."))</f>
        <v/>
      </c>
      <c r="H211" s="59"/>
      <c r="I211" s="59" t="s">
        <v>450</v>
      </c>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row>
    <row r="212" spans="1:178" ht="64.349999999999994" customHeight="1" x14ac:dyDescent="0.2">
      <c r="A212" s="14" t="s">
        <v>327</v>
      </c>
      <c r="B212" s="31" t="s">
        <v>386</v>
      </c>
      <c r="C212" s="34"/>
      <c r="D212" s="34"/>
      <c r="E212" s="34"/>
      <c r="F212" s="41"/>
      <c r="G212" s="8" t="s">
        <v>452</v>
      </c>
      <c r="H212" s="59">
        <v>33</v>
      </c>
      <c r="I212" s="59" t="s">
        <v>454</v>
      </c>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row>
    <row r="213" spans="1:178" ht="64.349999999999994" customHeight="1" x14ac:dyDescent="0.2">
      <c r="A213" s="14" t="s">
        <v>330</v>
      </c>
      <c r="B213" s="31" t="s">
        <v>329</v>
      </c>
      <c r="C213" s="34"/>
      <c r="D213" s="34"/>
      <c r="E213" s="34"/>
      <c r="F213" s="41"/>
      <c r="G213" s="8" t="s">
        <v>451</v>
      </c>
      <c r="H213" s="59" t="s">
        <v>455</v>
      </c>
      <c r="I213" s="59" t="s">
        <v>456</v>
      </c>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row>
    <row r="214" spans="1:178" ht="64.349999999999994" customHeight="1" x14ac:dyDescent="0.2">
      <c r="A214" s="14" t="s">
        <v>331</v>
      </c>
      <c r="B214" s="31" t="s">
        <v>511</v>
      </c>
      <c r="C214" s="34"/>
      <c r="D214" s="34"/>
      <c r="E214" s="34"/>
      <c r="F214" s="41"/>
      <c r="G214" s="8"/>
      <c r="H214" s="59">
        <v>32</v>
      </c>
      <c r="I214" s="59" t="s">
        <v>457</v>
      </c>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row>
    <row r="215" spans="1:178" ht="64.349999999999994" customHeight="1" x14ac:dyDescent="0.2">
      <c r="A215" s="14" t="s">
        <v>333</v>
      </c>
      <c r="B215" s="31" t="s">
        <v>614</v>
      </c>
      <c r="C215" s="34"/>
      <c r="D215" s="34"/>
      <c r="E215" s="34"/>
      <c r="F215" s="41"/>
      <c r="G215" s="8"/>
      <c r="H215" s="59">
        <v>27</v>
      </c>
      <c r="I215" s="59" t="s">
        <v>458</v>
      </c>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row>
    <row r="216" spans="1:178" ht="64.349999999999994" customHeight="1" x14ac:dyDescent="0.2">
      <c r="A216" s="14" t="s">
        <v>410</v>
      </c>
      <c r="B216" s="31" t="s">
        <v>332</v>
      </c>
      <c r="C216" s="34"/>
      <c r="D216" s="34"/>
      <c r="E216" s="34"/>
      <c r="F216" s="41"/>
      <c r="G216" s="8"/>
      <c r="H216" s="59">
        <v>29</v>
      </c>
      <c r="I216" s="59" t="s">
        <v>459</v>
      </c>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row>
    <row r="217" spans="1:178" ht="64.349999999999994" customHeight="1" x14ac:dyDescent="0.2">
      <c r="A217" s="14" t="s">
        <v>411</v>
      </c>
      <c r="B217" s="31" t="s">
        <v>387</v>
      </c>
      <c r="C217" s="34"/>
      <c r="D217" s="34"/>
      <c r="E217" s="34"/>
      <c r="F217" s="41"/>
      <c r="G217" s="8" t="s">
        <v>334</v>
      </c>
      <c r="H217" s="59"/>
      <c r="I217" s="59"/>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row>
    <row r="218" spans="1:178" ht="64.349999999999994" customHeight="1" x14ac:dyDescent="0.2">
      <c r="A218" s="14" t="s">
        <v>412</v>
      </c>
      <c r="B218" s="5" t="s">
        <v>282</v>
      </c>
      <c r="C218" s="20"/>
      <c r="D218" s="20"/>
      <c r="E218" s="20"/>
      <c r="F218" s="22"/>
      <c r="G218" s="8" t="str">
        <f>IF(C218="","",IF(C218="Yes","What type of system do you use (network-based, host-based, etc.)?","State plans to implement an intrustion detection/prevention system."))</f>
        <v/>
      </c>
      <c r="H218" s="59"/>
      <c r="I218" s="59"/>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row>
    <row r="219" spans="1:178" ht="64.349999999999994" customHeight="1" x14ac:dyDescent="0.2">
      <c r="A219" s="14" t="s">
        <v>413</v>
      </c>
      <c r="B219" s="5" t="s">
        <v>179</v>
      </c>
      <c r="C219" s="20"/>
      <c r="D219" s="20"/>
      <c r="E219" s="20"/>
      <c r="F219" s="22"/>
      <c r="G219" s="8"/>
      <c r="H219" s="59"/>
      <c r="I219" s="59"/>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row>
    <row r="220" spans="1:178" ht="54" x14ac:dyDescent="0.2">
      <c r="A220" s="90" t="s">
        <v>180</v>
      </c>
      <c r="B220" s="90"/>
      <c r="C220" s="3" t="s">
        <v>661</v>
      </c>
      <c r="D220" s="3" t="s">
        <v>662</v>
      </c>
      <c r="E220" s="3" t="s">
        <v>114</v>
      </c>
      <c r="F220" s="3" t="s">
        <v>17</v>
      </c>
      <c r="G220" s="4" t="s">
        <v>18</v>
      </c>
      <c r="H220" s="3" t="s">
        <v>395</v>
      </c>
      <c r="I220" s="3" t="s">
        <v>422</v>
      </c>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row>
    <row r="221" spans="1:178" ht="48" customHeight="1" x14ac:dyDescent="0.2">
      <c r="A221" s="14" t="s">
        <v>246</v>
      </c>
      <c r="B221" s="5" t="s">
        <v>615</v>
      </c>
      <c r="C221" s="20"/>
      <c r="D221" s="20"/>
      <c r="E221" s="20"/>
      <c r="F221" s="22"/>
      <c r="G221" s="8" t="s">
        <v>181</v>
      </c>
      <c r="H221" s="49"/>
      <c r="I221" s="49"/>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row>
    <row r="222" spans="1:178" ht="64.5" customHeight="1" x14ac:dyDescent="0.2">
      <c r="A222" s="14" t="s">
        <v>247</v>
      </c>
      <c r="B222" s="5" t="s">
        <v>77</v>
      </c>
      <c r="C222" s="22"/>
      <c r="D222" s="22"/>
      <c r="E222" s="22"/>
      <c r="F222" s="22"/>
      <c r="G222" s="8" t="s">
        <v>633</v>
      </c>
      <c r="H222" s="49"/>
      <c r="I222" s="49"/>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row>
    <row r="223" spans="1:178" ht="48" customHeight="1" x14ac:dyDescent="0.2">
      <c r="A223" s="14" t="s">
        <v>248</v>
      </c>
      <c r="B223" s="5" t="s">
        <v>112</v>
      </c>
      <c r="C223" s="20"/>
      <c r="D223" s="20"/>
      <c r="E223" s="20"/>
      <c r="F223" s="23"/>
      <c r="G223" s="8" t="str">
        <f>IF(C223="","",IF(C223="Yes","State the application title as listed within the trusted source.","Decribe how the application is distributed. Also, state any plans to publish the app to a trusted source."))</f>
        <v/>
      </c>
      <c r="H223" s="49"/>
      <c r="I223" s="49"/>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row>
    <row r="224" spans="1:178" ht="48" customHeight="1" x14ac:dyDescent="0.2">
      <c r="A224" s="14" t="s">
        <v>249</v>
      </c>
      <c r="B224" s="5" t="s">
        <v>182</v>
      </c>
      <c r="C224" s="20"/>
      <c r="D224" s="20"/>
      <c r="E224" s="20"/>
      <c r="F224" s="23"/>
      <c r="G224" s="8" t="str">
        <f>IF(C224="","",IF(C224="Yes","Provide a detailed summary for your response.",""))</f>
        <v/>
      </c>
      <c r="H224" s="49"/>
      <c r="I224" s="49"/>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row>
    <row r="225" spans="1:178" ht="57.75" customHeight="1" x14ac:dyDescent="0.2">
      <c r="A225" s="14" t="s">
        <v>250</v>
      </c>
      <c r="B225" s="5" t="s">
        <v>141</v>
      </c>
      <c r="C225" s="20"/>
      <c r="D225" s="20"/>
      <c r="E225" s="20"/>
      <c r="F225" s="23"/>
      <c r="G225" s="8" t="str">
        <f>IF(C225="","",IF(C225="Yes","Provide a detailed description of what data will be stored and in which location(s), as well as why storing this data in this/these location(s) is necessary.",""))</f>
        <v/>
      </c>
      <c r="H225" s="49"/>
      <c r="I225" s="49"/>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row>
    <row r="226" spans="1:178" ht="48" customHeight="1" x14ac:dyDescent="0.2">
      <c r="A226" s="14" t="s">
        <v>251</v>
      </c>
      <c r="B226" s="5" t="s">
        <v>616</v>
      </c>
      <c r="C226" s="20"/>
      <c r="D226" s="20"/>
      <c r="E226" s="20"/>
      <c r="F226" s="23"/>
      <c r="G226" s="8" t="str">
        <f>IF(C226="","",IF(C226="Yes","Summarize your MDM capabilities.","State any plans to implement a MDM platform in your environment."))</f>
        <v/>
      </c>
      <c r="H226" s="49"/>
      <c r="I226" s="49"/>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row>
    <row r="227" spans="1:178" ht="48" customHeight="1" x14ac:dyDescent="0.2">
      <c r="A227" s="14" t="s">
        <v>252</v>
      </c>
      <c r="B227" s="5" t="s">
        <v>142</v>
      </c>
      <c r="C227" s="20"/>
      <c r="D227" s="20"/>
      <c r="E227" s="20"/>
      <c r="F227" s="23"/>
      <c r="G227" s="8" t="str">
        <f>IF(C227="","",IF(C227="Yes","State any capabilities and plans to detect and prevent the use of jailbroken devices.","Please provide a explanation on how this is enforced."))</f>
        <v/>
      </c>
      <c r="H227" s="49"/>
      <c r="I227" s="49"/>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row>
    <row r="228" spans="1:178" ht="48" customHeight="1" x14ac:dyDescent="0.2">
      <c r="A228" s="14" t="s">
        <v>253</v>
      </c>
      <c r="B228" s="5" t="s">
        <v>617</v>
      </c>
      <c r="C228" s="20"/>
      <c r="D228" s="20"/>
      <c r="E228" s="20"/>
      <c r="F228" s="23"/>
      <c r="G228" s="8" t="str">
        <f>IF(C228="","",IF(C228="Yes","Describe how data is encrypted in transport. (i.e. from system to app)","Summarize why data is not encrypted in transport. (i.e. from system to app)"))</f>
        <v/>
      </c>
      <c r="H228" s="49"/>
      <c r="I228" s="49"/>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row>
    <row r="229" spans="1:178" ht="48" customHeight="1" x14ac:dyDescent="0.2">
      <c r="A229" s="14" t="s">
        <v>254</v>
      </c>
      <c r="B229" s="5" t="s">
        <v>618</v>
      </c>
      <c r="C229" s="20"/>
      <c r="D229" s="20"/>
      <c r="E229" s="20"/>
      <c r="F229" s="23"/>
      <c r="G229" s="8" t="str">
        <f>IF(C229="","",IF(C229="Yes","Describe how data is encrypted in storage (i.e. at-rest within the app).","Summarize why data is not encrypted in storage (i.e. at-rest within the app)"))</f>
        <v/>
      </c>
      <c r="H229" s="49"/>
      <c r="I229" s="49"/>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row>
    <row r="230" spans="1:178" ht="67.5" customHeight="1" x14ac:dyDescent="0.2">
      <c r="A230" s="14" t="s">
        <v>255</v>
      </c>
      <c r="B230" s="5" t="s">
        <v>183</v>
      </c>
      <c r="C230" s="20"/>
      <c r="D230" s="20"/>
      <c r="E230" s="20"/>
      <c r="F230" s="23"/>
      <c r="G230" s="8" t="str">
        <f>IF(C230="","",IF(C230="Yes","Please provide additional information on the methodology used for the vulnerability testing and indicate if the testing was internal or external.","Please state any plans to perform vulnerability testing on the application."))</f>
        <v/>
      </c>
      <c r="H230" s="49"/>
      <c r="I230" s="49"/>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row>
    <row r="231" spans="1:178" ht="64.349999999999994" customHeight="1" x14ac:dyDescent="0.2">
      <c r="A231" s="90" t="s">
        <v>184</v>
      </c>
      <c r="B231" s="90"/>
      <c r="C231" s="3" t="s">
        <v>661</v>
      </c>
      <c r="D231" s="3" t="s">
        <v>662</v>
      </c>
      <c r="E231" s="3" t="s">
        <v>114</v>
      </c>
      <c r="F231" s="3" t="s">
        <v>17</v>
      </c>
      <c r="G231" s="4" t="s">
        <v>18</v>
      </c>
      <c r="H231" s="3" t="s">
        <v>395</v>
      </c>
      <c r="I231" s="3" t="s">
        <v>422</v>
      </c>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row>
    <row r="232" spans="1:178" ht="64.349999999999994" customHeight="1" x14ac:dyDescent="0.2">
      <c r="A232" s="14" t="s">
        <v>256</v>
      </c>
      <c r="B232" s="5" t="s">
        <v>78</v>
      </c>
      <c r="C232" s="20"/>
      <c r="D232" s="20"/>
      <c r="E232" s="20"/>
      <c r="F232" s="23"/>
      <c r="G232" s="39" t="str">
        <f>IF(C232="","",IF(C232="Yes","Provide a copy of your physical security controls and policies along with this document (link or attached).","Describe your intent to implement physical security controls and policies."))</f>
        <v/>
      </c>
      <c r="H232" s="59"/>
      <c r="I232" s="59"/>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row>
    <row r="233" spans="1:178" ht="64.349999999999994" customHeight="1" x14ac:dyDescent="0.2">
      <c r="A233" s="14" t="s">
        <v>257</v>
      </c>
      <c r="B233" s="31" t="s">
        <v>143</v>
      </c>
      <c r="C233" s="36"/>
      <c r="D233" s="36"/>
      <c r="E233" s="36"/>
      <c r="F233" s="32"/>
      <c r="G233" s="8" t="str">
        <f>IF(C233="","",IF(C233="Yes","List open source code or freeware/shareware utilized, including frameworks. Describe how you verify integrity and maintain this code, including monitoring for vulnerabilities and deploying patches.",""))</f>
        <v/>
      </c>
      <c r="H233" s="59"/>
      <c r="I233" s="59"/>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row>
    <row r="234" spans="1:178" ht="64.349999999999994" customHeight="1" x14ac:dyDescent="0.2">
      <c r="A234" s="14" t="s">
        <v>258</v>
      </c>
      <c r="B234" s="31" t="s">
        <v>302</v>
      </c>
      <c r="C234" s="36"/>
      <c r="D234" s="36"/>
      <c r="E234" s="36"/>
      <c r="F234" s="32"/>
      <c r="G234" s="8" t="str">
        <f>IF(C234="","",IF(C234="Yes","Please describe in appropriate detail.","Please describe how you ensure security of products during electronic transport."))</f>
        <v/>
      </c>
      <c r="H234" s="59">
        <v>60</v>
      </c>
      <c r="I234" s="59" t="s">
        <v>470</v>
      </c>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row>
    <row r="235" spans="1:178" ht="64.349999999999994" customHeight="1" x14ac:dyDescent="0.2">
      <c r="A235" s="14" t="s">
        <v>259</v>
      </c>
      <c r="B235" s="31" t="s">
        <v>619</v>
      </c>
      <c r="C235" s="36"/>
      <c r="D235" s="36"/>
      <c r="E235" s="36"/>
      <c r="F235" s="32"/>
      <c r="G235" s="8" t="str">
        <f>IF(C235="","",IF(C235="Yes","Please describe how this is accomplished.",""))</f>
        <v/>
      </c>
      <c r="H235" s="59"/>
      <c r="I235" s="59" t="s">
        <v>471</v>
      </c>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row>
    <row r="236" spans="1:178" ht="64.349999999999994" customHeight="1" x14ac:dyDescent="0.2">
      <c r="A236" s="14" t="s">
        <v>260</v>
      </c>
      <c r="B236" s="31" t="s">
        <v>388</v>
      </c>
      <c r="C236" s="36"/>
      <c r="D236" s="36"/>
      <c r="E236" s="36"/>
      <c r="F236" s="32"/>
      <c r="G236" s="8"/>
      <c r="H236" s="59" t="s">
        <v>505</v>
      </c>
      <c r="I236" s="59" t="s">
        <v>472</v>
      </c>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row>
    <row r="237" spans="1:178" ht="64.349999999999994" customHeight="1" x14ac:dyDescent="0.2">
      <c r="A237" s="14" t="s">
        <v>261</v>
      </c>
      <c r="B237" s="31" t="s">
        <v>620</v>
      </c>
      <c r="C237" s="36"/>
      <c r="D237" s="36"/>
      <c r="E237" s="36"/>
      <c r="F237" s="32"/>
      <c r="G237" s="8"/>
      <c r="H237" s="59">
        <v>51</v>
      </c>
      <c r="I237" s="59" t="s">
        <v>473</v>
      </c>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row>
    <row r="238" spans="1:178" ht="64.349999999999994" customHeight="1" x14ac:dyDescent="0.2">
      <c r="A238" s="14" t="s">
        <v>262</v>
      </c>
      <c r="B238" s="31" t="s">
        <v>323</v>
      </c>
      <c r="C238" s="36"/>
      <c r="D238" s="36"/>
      <c r="E238" s="36"/>
      <c r="F238" s="32"/>
      <c r="G238" s="8"/>
      <c r="H238" s="59"/>
      <c r="I238" s="59"/>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row>
    <row r="239" spans="1:178" ht="64.349999999999994" customHeight="1" x14ac:dyDescent="0.2">
      <c r="A239" s="14" t="s">
        <v>263</v>
      </c>
      <c r="B239" s="31" t="s">
        <v>551</v>
      </c>
      <c r="C239" s="36"/>
      <c r="D239" s="36"/>
      <c r="E239" s="36"/>
      <c r="F239" s="32"/>
      <c r="G239" s="8"/>
      <c r="H239" s="59">
        <v>37</v>
      </c>
      <c r="I239" s="59" t="s">
        <v>474</v>
      </c>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row>
    <row r="240" spans="1:178" ht="64.349999999999994" customHeight="1" x14ac:dyDescent="0.2">
      <c r="A240" s="14" t="s">
        <v>264</v>
      </c>
      <c r="B240" s="31" t="s">
        <v>621</v>
      </c>
      <c r="C240" s="36"/>
      <c r="D240" s="36"/>
      <c r="E240" s="36"/>
      <c r="F240" s="32"/>
      <c r="G240" s="8" t="str">
        <f>IF(C240="","",IF(C240="Yes","Please describe this program.","Please describe how this is accomplished in absence of formal process or program."))</f>
        <v/>
      </c>
      <c r="H240" s="59">
        <v>49</v>
      </c>
      <c r="I240" s="59" t="s">
        <v>475</v>
      </c>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row>
    <row r="241" spans="1:178" ht="64.349999999999994" customHeight="1" x14ac:dyDescent="0.2">
      <c r="A241" s="14" t="s">
        <v>265</v>
      </c>
      <c r="B241" s="31" t="s">
        <v>350</v>
      </c>
      <c r="C241" s="36"/>
      <c r="D241" s="36"/>
      <c r="E241" s="36"/>
      <c r="F241" s="32"/>
      <c r="G241" s="8"/>
      <c r="H241" s="59">
        <v>53</v>
      </c>
      <c r="I241" s="59" t="s">
        <v>476</v>
      </c>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row>
    <row r="242" spans="1:178" ht="64.349999999999994" customHeight="1" x14ac:dyDescent="0.2">
      <c r="A242" s="14" t="s">
        <v>266</v>
      </c>
      <c r="B242" s="31" t="s">
        <v>622</v>
      </c>
      <c r="C242" s="36"/>
      <c r="D242" s="36"/>
      <c r="E242" s="36"/>
      <c r="F242" s="32"/>
      <c r="G242" s="8"/>
      <c r="H242" s="59"/>
      <c r="I242" s="59" t="s">
        <v>477</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row>
    <row r="243" spans="1:178" ht="64.349999999999994" customHeight="1" x14ac:dyDescent="0.2">
      <c r="A243" s="14" t="s">
        <v>267</v>
      </c>
      <c r="B243" s="31" t="s">
        <v>623</v>
      </c>
      <c r="C243" s="36"/>
      <c r="D243" s="36"/>
      <c r="E243" s="36"/>
      <c r="F243" s="32"/>
      <c r="G243" s="8"/>
      <c r="H243" s="59"/>
      <c r="I243" s="59" t="s">
        <v>478</v>
      </c>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row>
    <row r="244" spans="1:178" ht="64.349999999999994" customHeight="1" x14ac:dyDescent="0.2">
      <c r="A244" s="14" t="s">
        <v>268</v>
      </c>
      <c r="B244" s="31" t="s">
        <v>552</v>
      </c>
      <c r="C244" s="54"/>
      <c r="D244" s="54"/>
      <c r="E244" s="54"/>
      <c r="F244" s="55"/>
      <c r="G244" s="8" t="str">
        <f>IF(C244="","",IF(C244="Yes","Please describe these controls.",""))</f>
        <v/>
      </c>
      <c r="H244" s="59">
        <v>16</v>
      </c>
      <c r="I244" s="59" t="s">
        <v>469</v>
      </c>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row>
    <row r="245" spans="1:178" ht="64.349999999999994" customHeight="1" x14ac:dyDescent="0.2">
      <c r="A245" s="14" t="s">
        <v>269</v>
      </c>
      <c r="B245" s="31" t="s">
        <v>396</v>
      </c>
      <c r="C245" s="36"/>
      <c r="D245" s="36"/>
      <c r="E245" s="36"/>
      <c r="F245" s="32"/>
      <c r="G245" s="8"/>
      <c r="H245" s="59"/>
      <c r="I245" s="59"/>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row>
    <row r="246" spans="1:178" ht="64.349999999999994" customHeight="1" x14ac:dyDescent="0.2">
      <c r="A246" s="14" t="s">
        <v>279</v>
      </c>
      <c r="B246" s="5" t="s">
        <v>152</v>
      </c>
      <c r="C246" s="36"/>
      <c r="D246" s="36"/>
      <c r="E246" s="36"/>
      <c r="F246" s="32"/>
      <c r="G246" s="8" t="str">
        <f>IF(C246="","",IF(C246="Yes","Please describe how the antivirus is maintained and kept up-to-date.","Please describe any plans to install antivirus on all end nodes."))</f>
        <v/>
      </c>
      <c r="H246" s="59"/>
      <c r="I246" s="59"/>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row>
    <row r="247" spans="1:178" ht="64.349999999999994" customHeight="1" x14ac:dyDescent="0.2">
      <c r="A247" s="14" t="s">
        <v>301</v>
      </c>
      <c r="B247" s="5" t="s">
        <v>185</v>
      </c>
      <c r="C247" s="20"/>
      <c r="D247" s="20"/>
      <c r="E247" s="20"/>
      <c r="F247" s="23"/>
      <c r="G247" s="8" t="str">
        <f>IF(C247="","",IF(C247="Yes","Please describe your endpoint protection strategy.","Please describe your endpoint protection strategy."))</f>
        <v/>
      </c>
      <c r="H247" s="59"/>
      <c r="I247" s="59"/>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row>
    <row r="248" spans="1:178" ht="64.349999999999994" customHeight="1" x14ac:dyDescent="0.2">
      <c r="A248" s="14" t="s">
        <v>304</v>
      </c>
      <c r="B248" s="5" t="s">
        <v>148</v>
      </c>
      <c r="C248" s="20"/>
      <c r="D248" s="20"/>
      <c r="E248" s="20"/>
      <c r="F248" s="23"/>
      <c r="G248" s="39" t="str">
        <f>IF(C248="","",IF(C248="Yes","Describe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8" s="59"/>
      <c r="I248" s="59"/>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row>
    <row r="249" spans="1:178" ht="64.349999999999994" customHeight="1" x14ac:dyDescent="0.2">
      <c r="A249" s="14" t="s">
        <v>308</v>
      </c>
      <c r="B249" s="7" t="s">
        <v>159</v>
      </c>
      <c r="C249" s="20"/>
      <c r="D249" s="20"/>
      <c r="E249" s="20"/>
      <c r="F249" s="23"/>
      <c r="G249" s="39" t="str">
        <f>IF(C249="","",IF(C249="Yes","Please provide a copy of the most recent audit.","State any plans to have a SOC 2 Type II audit conducted."))</f>
        <v/>
      </c>
      <c r="H249" s="59"/>
      <c r="I249" s="59"/>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row>
    <row r="250" spans="1:178" ht="64.349999999999994" customHeight="1" x14ac:dyDescent="0.2">
      <c r="A250" s="14" t="s">
        <v>309</v>
      </c>
      <c r="B250" s="7" t="s">
        <v>624</v>
      </c>
      <c r="C250" s="20"/>
      <c r="D250" s="20"/>
      <c r="E250" s="20"/>
      <c r="F250" s="23"/>
      <c r="G250" s="39" t="str">
        <f>IF(C250="","",IF(C250="Yes","Please provide any currently efective certifications.","State any plans to obtain such compliance certifications."))</f>
        <v/>
      </c>
      <c r="H250" s="59"/>
      <c r="I250" s="59"/>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row>
    <row r="251" spans="1:178" ht="64.349999999999994" customHeight="1" x14ac:dyDescent="0.2">
      <c r="A251" s="14" t="s">
        <v>322</v>
      </c>
      <c r="B251" s="7" t="s">
        <v>283</v>
      </c>
      <c r="C251" s="20"/>
      <c r="D251" s="20"/>
      <c r="E251" s="20"/>
      <c r="F251" s="23"/>
      <c r="G251" s="8"/>
      <c r="H251" s="59"/>
      <c r="I251" s="59"/>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row>
    <row r="252" spans="1:178" ht="64.349999999999994" customHeight="1" x14ac:dyDescent="0.2">
      <c r="A252" s="14" t="s">
        <v>335</v>
      </c>
      <c r="B252" s="5" t="s">
        <v>625</v>
      </c>
      <c r="C252" s="20"/>
      <c r="D252" s="20"/>
      <c r="E252" s="20"/>
      <c r="F252" s="23"/>
      <c r="G252" s="8" t="str">
        <f>IF(C252="","",IF(C252="Yes","Provide a detailed summary outlining the security controls implemented to protect the Utility's data.",""))</f>
        <v/>
      </c>
      <c r="H252" s="59"/>
      <c r="I252" s="59"/>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row>
    <row r="253" spans="1:178" ht="64.349999999999994" customHeight="1" x14ac:dyDescent="0.2">
      <c r="A253" s="14" t="s">
        <v>345</v>
      </c>
      <c r="B253" s="5" t="s">
        <v>79</v>
      </c>
      <c r="C253" s="20"/>
      <c r="D253" s="20"/>
      <c r="E253" s="20"/>
      <c r="F253" s="23"/>
      <c r="G253" s="8" t="str">
        <f>IF(C253="","",IF(C253="Yes","State the retention period for security video.","State your plans to retain video monitoring feeds."))</f>
        <v/>
      </c>
      <c r="H253" s="59"/>
      <c r="I253" s="59"/>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row>
    <row r="254" spans="1:178" ht="64.349999999999994" customHeight="1" x14ac:dyDescent="0.2">
      <c r="A254" s="14" t="s">
        <v>349</v>
      </c>
      <c r="B254" s="5" t="s">
        <v>80</v>
      </c>
      <c r="C254" s="20"/>
      <c r="D254" s="20"/>
      <c r="E254" s="20"/>
      <c r="F254" s="23"/>
      <c r="G254" s="8" t="str">
        <f>IF(C254="","",IF(C254="Yes","Summarize your video monitoring strategy for datacenter staff.","Describe plans to have video feed(s) monitored."))</f>
        <v/>
      </c>
      <c r="H254" s="59"/>
      <c r="I254" s="59"/>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row>
    <row r="255" spans="1:178" ht="64.349999999999994" customHeight="1" x14ac:dyDescent="0.2">
      <c r="A255" s="14" t="s">
        <v>351</v>
      </c>
      <c r="B255" s="5" t="s">
        <v>81</v>
      </c>
      <c r="C255" s="20"/>
      <c r="D255" s="20"/>
      <c r="E255" s="20"/>
      <c r="F255" s="23"/>
      <c r="G255" s="8" t="str">
        <f>IF(C255="","",IF(C255="Yes","Summarize your process and procedure for the installation and removal of equipment to/from your environment.","Provide a brief summary for your response."))</f>
        <v/>
      </c>
      <c r="H255" s="59"/>
      <c r="I255" s="59"/>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row>
    <row r="256" spans="1:178" ht="64.349999999999994" customHeight="1" x14ac:dyDescent="0.2">
      <c r="A256" s="14" t="s">
        <v>362</v>
      </c>
      <c r="B256" s="5" t="s">
        <v>553</v>
      </c>
      <c r="C256" s="20"/>
      <c r="D256" s="20"/>
      <c r="E256" s="20"/>
      <c r="F256" s="23"/>
      <c r="G256" s="6" t="str">
        <f>IF(C256="","",IF(C256="Yes","Describe all operating systems that are not currently supported, why they still need to be used (i.e. why they cannot be updated), and methods utilized to secure and maintain them.",""))</f>
        <v/>
      </c>
      <c r="H256" s="59"/>
      <c r="I256" s="59"/>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row>
    <row r="257" spans="1:178" ht="64.349999999999994" customHeight="1" x14ac:dyDescent="0.2">
      <c r="A257" s="14" t="s">
        <v>366</v>
      </c>
      <c r="B257" s="5" t="s">
        <v>626</v>
      </c>
      <c r="C257" s="20"/>
      <c r="D257" s="20"/>
      <c r="E257" s="20"/>
      <c r="F257" s="23"/>
      <c r="G257" s="6" t="str">
        <f>IF(C257="","",IF(C257="Yes","Detail all web browsers that are not currently supported, why they still need to be used (i.e. why they cannot be updated), and methods utilized to secure and maintain them.",""))</f>
        <v/>
      </c>
      <c r="H257" s="59"/>
      <c r="I257" s="59"/>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row>
    <row r="258" spans="1:178" ht="64.349999999999994" customHeight="1" x14ac:dyDescent="0.2">
      <c r="A258" s="14" t="s">
        <v>398</v>
      </c>
      <c r="B258" s="5" t="s">
        <v>85</v>
      </c>
      <c r="C258" s="20"/>
      <c r="D258" s="20"/>
      <c r="E258" s="20"/>
      <c r="F258" s="23"/>
      <c r="G258" s="8" t="str">
        <f>IF(C258="","",IF(C258="Yes","Summarize the information security principles designed into the product lifecycle and how they are integrated.","Describe why security principles are not designed into the product lifecycle."))</f>
        <v/>
      </c>
      <c r="H258" s="59"/>
      <c r="I258" s="59"/>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row>
    <row r="259" spans="1:178" ht="64.349999999999994" customHeight="1" x14ac:dyDescent="0.2">
      <c r="A259" s="14" t="s">
        <v>535</v>
      </c>
      <c r="B259" s="5" t="s">
        <v>627</v>
      </c>
      <c r="C259" s="20"/>
      <c r="D259" s="20"/>
      <c r="E259" s="20"/>
      <c r="F259" s="23"/>
      <c r="G259" s="8"/>
      <c r="H259" s="59">
        <v>20</v>
      </c>
      <c r="I259" s="59" t="s">
        <v>479</v>
      </c>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row>
    <row r="260" spans="1:178" ht="54" x14ac:dyDescent="0.2">
      <c r="A260" s="90" t="s">
        <v>170</v>
      </c>
      <c r="B260" s="90"/>
      <c r="C260" s="3" t="s">
        <v>661</v>
      </c>
      <c r="D260" s="3" t="s">
        <v>662</v>
      </c>
      <c r="E260" s="3" t="s">
        <v>114</v>
      </c>
      <c r="F260" s="3" t="s">
        <v>17</v>
      </c>
      <c r="G260" s="4" t="s">
        <v>18</v>
      </c>
      <c r="H260" s="3" t="s">
        <v>395</v>
      </c>
      <c r="I260" s="3" t="s">
        <v>422</v>
      </c>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row>
    <row r="261" spans="1:178" ht="48" customHeight="1" x14ac:dyDescent="0.2">
      <c r="A261" s="14" t="s">
        <v>88</v>
      </c>
      <c r="B261" s="31" t="s">
        <v>394</v>
      </c>
      <c r="C261" s="20"/>
      <c r="D261" s="20"/>
      <c r="E261" s="20"/>
      <c r="F261" s="23"/>
      <c r="G261" s="8" t="str">
        <f>IF(C261="","",IF(C261="Yes","Decribe your external application vulnerability scanning strategy and provide when the last assessment was performed","Describe any plans to implement external vulnerability scanning for your applications."))</f>
        <v/>
      </c>
      <c r="H261" s="59"/>
      <c r="I261" s="59"/>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row>
    <row r="262" spans="1:178" ht="65.099999999999994" customHeight="1" x14ac:dyDescent="0.2">
      <c r="A262" s="14" t="s">
        <v>89</v>
      </c>
      <c r="B262" s="5" t="s">
        <v>91</v>
      </c>
      <c r="C262" s="20"/>
      <c r="D262" s="20"/>
      <c r="E262" s="20"/>
      <c r="F262" s="23"/>
      <c r="G262" s="8" t="str">
        <f>IF(C262="","",IF(C262="Yes","Summarize your vulnerability scanning strategy.","Describe plans to implement application vulnerability scanning prior to release."))</f>
        <v/>
      </c>
      <c r="H262" s="59"/>
      <c r="I262" s="59"/>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row>
    <row r="263" spans="1:178" ht="75" customHeight="1" x14ac:dyDescent="0.2">
      <c r="A263" s="14" t="s">
        <v>90</v>
      </c>
      <c r="B263" s="5" t="s">
        <v>83</v>
      </c>
      <c r="C263" s="20"/>
      <c r="D263" s="20"/>
      <c r="E263" s="20"/>
      <c r="F263" s="23"/>
      <c r="G263" s="9" t="str">
        <f>IF(C263="","",IF(C263="Yes","Provide a list of all tools utilized during static code analysis or static application security testing.","State your plans to implement static code testing practices into your environment."))</f>
        <v/>
      </c>
      <c r="H263" s="59"/>
      <c r="I263" s="59"/>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row>
    <row r="264" spans="1:178" ht="75" customHeight="1" x14ac:dyDescent="0.2">
      <c r="A264" s="14" t="s">
        <v>92</v>
      </c>
      <c r="B264" s="5" t="s">
        <v>628</v>
      </c>
      <c r="C264" s="20"/>
      <c r="D264" s="20"/>
      <c r="E264" s="20"/>
      <c r="F264" s="23"/>
      <c r="G264" s="9" t="str">
        <f>IF(C264="","",IF(C264="Yes","Please link or attach a copy you are willing to share.",""))</f>
        <v/>
      </c>
      <c r="H264" s="59"/>
      <c r="I264" s="59"/>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row>
    <row r="265" spans="1:178" ht="91.15" customHeight="1" x14ac:dyDescent="0.2">
      <c r="A265" s="14" t="s">
        <v>93</v>
      </c>
      <c r="B265" s="31" t="s">
        <v>629</v>
      </c>
      <c r="C265" s="36"/>
      <c r="D265" s="36"/>
      <c r="E265" s="36"/>
      <c r="F265" s="32"/>
      <c r="G265" s="8"/>
      <c r="H265" s="59"/>
      <c r="I265" s="59" t="s">
        <v>477</v>
      </c>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row>
    <row r="266" spans="1:178" ht="91.15" customHeight="1" x14ac:dyDescent="0.2">
      <c r="A266" s="14" t="s">
        <v>94</v>
      </c>
      <c r="B266" s="31" t="s">
        <v>630</v>
      </c>
      <c r="C266" s="36"/>
      <c r="D266" s="36"/>
      <c r="E266" s="36"/>
      <c r="F266" s="32"/>
      <c r="G266" s="6" t="str">
        <f>IF(C266="","",IF(C266="Yes","Please descibe in adequate detail, including timeframe for notification.",""))</f>
        <v/>
      </c>
      <c r="H266" s="59">
        <v>57</v>
      </c>
      <c r="I266" s="59" t="s">
        <v>491</v>
      </c>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row>
    <row r="267" spans="1:178" ht="91.15" customHeight="1" x14ac:dyDescent="0.2">
      <c r="A267" s="14" t="s">
        <v>95</v>
      </c>
      <c r="B267" s="31" t="s">
        <v>389</v>
      </c>
      <c r="C267" s="36"/>
      <c r="D267" s="36"/>
      <c r="E267" s="36"/>
      <c r="F267" s="32"/>
      <c r="G267" s="6"/>
      <c r="H267" s="59"/>
      <c r="I267" s="59"/>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row>
    <row r="268" spans="1:178" ht="91.15" customHeight="1" x14ac:dyDescent="0.2">
      <c r="A268" s="14" t="s">
        <v>96</v>
      </c>
      <c r="B268" s="31" t="s">
        <v>365</v>
      </c>
      <c r="C268" s="36"/>
      <c r="D268" s="36"/>
      <c r="E268" s="36"/>
      <c r="F268" s="32"/>
      <c r="G268" s="6"/>
      <c r="H268" s="59"/>
      <c r="I268" s="59"/>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row>
    <row r="269" spans="1:178" ht="48" customHeight="1" x14ac:dyDescent="0.2">
      <c r="A269" s="14" t="s">
        <v>270</v>
      </c>
      <c r="B269" s="5" t="s">
        <v>127</v>
      </c>
      <c r="C269" s="20"/>
      <c r="D269" s="20"/>
      <c r="E269" s="20"/>
      <c r="F269" s="23"/>
      <c r="G269" s="8" t="str">
        <f>IF(C269="","",IF(C269="Yes","State the date of your most recent external application assessment.","Describe any plans to have application external assessment(s) performed on your systems."))</f>
        <v/>
      </c>
      <c r="H269" s="59"/>
      <c r="I269" s="59"/>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row>
    <row r="270" spans="1:178" ht="49.35" customHeight="1" x14ac:dyDescent="0.2">
      <c r="A270" s="14" t="s">
        <v>271</v>
      </c>
      <c r="B270" s="5" t="s">
        <v>128</v>
      </c>
      <c r="C270" s="20"/>
      <c r="D270" s="20"/>
      <c r="E270" s="20"/>
      <c r="F270" s="23"/>
      <c r="G270" s="8" t="str">
        <f>IF(C270="","",IF(C270="Yes","Decribe your external system vulnerability scanning strategy, including the frequency of both types of scans.","Describe any plans to implement vulnerability scanning for your systems."))</f>
        <v/>
      </c>
      <c r="H270" s="59" t="s">
        <v>506</v>
      </c>
      <c r="I270" s="59" t="s">
        <v>472</v>
      </c>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row>
    <row r="271" spans="1:178" ht="48" customHeight="1" x14ac:dyDescent="0.2">
      <c r="A271" s="14" t="s">
        <v>272</v>
      </c>
      <c r="B271" s="5" t="s">
        <v>129</v>
      </c>
      <c r="C271" s="20"/>
      <c r="D271" s="20"/>
      <c r="E271" s="20"/>
      <c r="F271" s="23"/>
      <c r="G271" s="8" t="str">
        <f>IF(C271="","",IF(C271="Yes","State the date of your most recent system external assessment.","Describe any plans to have system external assessment(s) performed on your systems."))</f>
        <v/>
      </c>
      <c r="H271" s="59"/>
      <c r="I271" s="59"/>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row>
    <row r="272" spans="1:178" ht="65.099999999999994" customHeight="1" x14ac:dyDescent="0.2">
      <c r="A272" s="14" t="s">
        <v>273</v>
      </c>
      <c r="B272" s="5" t="s">
        <v>100</v>
      </c>
      <c r="C272" s="22"/>
      <c r="D272" s="22"/>
      <c r="E272" s="22"/>
      <c r="F272" s="22"/>
      <c r="G272" s="8" t="s">
        <v>164</v>
      </c>
      <c r="H272" s="59"/>
      <c r="I272" s="59"/>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row>
    <row r="273" spans="1:178" ht="48" customHeight="1" x14ac:dyDescent="0.2">
      <c r="A273" s="14" t="s">
        <v>274</v>
      </c>
      <c r="B273" s="5" t="s">
        <v>631</v>
      </c>
      <c r="C273" s="20"/>
      <c r="D273" s="20"/>
      <c r="E273" s="20"/>
      <c r="F273" s="23"/>
      <c r="G273" s="8" t="str">
        <f>IF(C273="","",IF(C273="Yes","Provide a reference to or attach security scan documentation.","Describe why security scan results will not be provided to the Utility."))</f>
        <v/>
      </c>
      <c r="H273" s="59"/>
      <c r="I273" s="59"/>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row>
    <row r="274" spans="1:178" ht="54" customHeight="1" x14ac:dyDescent="0.2">
      <c r="A274" s="14" t="s">
        <v>275</v>
      </c>
      <c r="B274" s="5" t="s">
        <v>632</v>
      </c>
      <c r="C274" s="20"/>
      <c r="D274" s="20"/>
      <c r="E274" s="20"/>
      <c r="F274" s="23"/>
      <c r="G274" s="8" t="str">
        <f>IF(C274="","",IF(C274="Yes","Provide reference to the process or procedure to setup security testing times and scopes.","Provide a brief summary for your response."))</f>
        <v/>
      </c>
      <c r="H274" s="59"/>
      <c r="I274" s="59"/>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row>
    <row r="275" spans="1:178" ht="75" customHeight="1" x14ac:dyDescent="0.2">
      <c r="A275" s="14" t="s">
        <v>344</v>
      </c>
      <c r="B275" s="5" t="s">
        <v>84</v>
      </c>
      <c r="C275" s="20"/>
      <c r="D275" s="20"/>
      <c r="E275" s="20"/>
      <c r="F275" s="23"/>
      <c r="G275" s="9" t="str">
        <f>IF(C275="","",IF(C275="Yes","Describe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5" s="59"/>
      <c r="I275" s="59" t="s">
        <v>492</v>
      </c>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row>
    <row r="276" spans="1:178" ht="75" customHeight="1" x14ac:dyDescent="0.2">
      <c r="A276" s="14" t="s">
        <v>355</v>
      </c>
      <c r="B276" s="5" t="s">
        <v>86</v>
      </c>
      <c r="C276" s="20"/>
      <c r="D276" s="20"/>
      <c r="E276" s="20"/>
      <c r="F276" s="23"/>
      <c r="G276" s="9" t="str">
        <f>IF(C276="","",IF(C276="Yes","Describe or provide a reference to/attach your system development life cycle methodology including your environments, version control, and change management (if not already covered in the Change Management section).","Describe any plans to implement a documented SDLC."))</f>
        <v/>
      </c>
      <c r="H276" s="59"/>
      <c r="I276" s="59"/>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row>
    <row r="277" spans="1:178" ht="75" customHeight="1" x14ac:dyDescent="0.2">
      <c r="A277" s="14" t="s">
        <v>358</v>
      </c>
      <c r="B277" s="5" t="s">
        <v>113</v>
      </c>
      <c r="C277" s="20"/>
      <c r="D277" s="20"/>
      <c r="E277" s="20"/>
      <c r="F277" s="23"/>
      <c r="G277" s="9"/>
      <c r="H277" s="59"/>
      <c r="I277" s="59"/>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row>
    <row r="278" spans="1:178" ht="75" customHeight="1" x14ac:dyDescent="0.2">
      <c r="A278" s="14" t="s">
        <v>359</v>
      </c>
      <c r="B278" s="5" t="s">
        <v>151</v>
      </c>
      <c r="C278" s="20"/>
      <c r="D278" s="20"/>
      <c r="E278" s="20"/>
      <c r="F278" s="22"/>
      <c r="G278" s="6" t="str">
        <f>IF(C278="","",IF(C278="Yes","Please provide information on the pentetration testing (i.e., when was the test conducted, key findings, etc.).","Please detail any current plans to conduct third-party penetration testing."))</f>
        <v/>
      </c>
      <c r="H278" s="59"/>
      <c r="I278" s="59"/>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row>
    <row r="279" spans="1:178" ht="54" x14ac:dyDescent="0.2">
      <c r="A279" s="90" t="s">
        <v>154</v>
      </c>
      <c r="B279" s="90"/>
      <c r="C279" s="3" t="s">
        <v>661</v>
      </c>
      <c r="D279" s="3" t="s">
        <v>662</v>
      </c>
      <c r="E279" s="3" t="s">
        <v>114</v>
      </c>
      <c r="F279" s="3" t="s">
        <v>17</v>
      </c>
      <c r="G279" s="4" t="s">
        <v>18</v>
      </c>
      <c r="H279" s="3" t="s">
        <v>395</v>
      </c>
      <c r="I279" s="3" t="s">
        <v>422</v>
      </c>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row>
    <row r="280" spans="1:178" ht="45.75" customHeight="1" x14ac:dyDescent="0.2">
      <c r="A280" s="14" t="s">
        <v>155</v>
      </c>
      <c r="B280" s="5" t="s">
        <v>158</v>
      </c>
      <c r="C280" s="23"/>
      <c r="D280" s="23"/>
      <c r="E280" s="23"/>
      <c r="F280" s="23"/>
      <c r="G280" s="8" t="str">
        <f>IF(C280="","",IF(C280="Yes","Provide reference to the process or procedure to setup security testing times and scopes.","Provide a brief summary for your response."))</f>
        <v/>
      </c>
      <c r="H280" s="47"/>
      <c r="I280" s="48"/>
    </row>
  </sheetData>
  <mergeCells count="66">
    <mergeCell ref="C47:F47"/>
    <mergeCell ref="C8:I8"/>
    <mergeCell ref="C9:I9"/>
    <mergeCell ref="C10:I10"/>
    <mergeCell ref="C11:I11"/>
    <mergeCell ref="C17:I17"/>
    <mergeCell ref="C16:I16"/>
    <mergeCell ref="C18:I18"/>
    <mergeCell ref="C19:I19"/>
    <mergeCell ref="C22:I22"/>
    <mergeCell ref="C23:I23"/>
    <mergeCell ref="C20:I20"/>
    <mergeCell ref="C21:I21"/>
    <mergeCell ref="A44:B44"/>
    <mergeCell ref="C46:F46"/>
    <mergeCell ref="C45:E45"/>
    <mergeCell ref="C24:I24"/>
    <mergeCell ref="C25:I25"/>
    <mergeCell ref="A26:I26"/>
    <mergeCell ref="C40:I40"/>
    <mergeCell ref="C41:I41"/>
    <mergeCell ref="A43:I43"/>
    <mergeCell ref="A42:I42"/>
    <mergeCell ref="A1:F1"/>
    <mergeCell ref="A27:G27"/>
    <mergeCell ref="B38:G38"/>
    <mergeCell ref="A279:B279"/>
    <mergeCell ref="C59:F59"/>
    <mergeCell ref="A260:B260"/>
    <mergeCell ref="A220:B220"/>
    <mergeCell ref="C61:F61"/>
    <mergeCell ref="C74:F74"/>
    <mergeCell ref="A206:B206"/>
    <mergeCell ref="C75:F75"/>
    <mergeCell ref="A60:B60"/>
    <mergeCell ref="A231:B231"/>
    <mergeCell ref="C71:E71"/>
    <mergeCell ref="C62:F62"/>
    <mergeCell ref="C48:F48"/>
    <mergeCell ref="C63:F63"/>
    <mergeCell ref="A76:B76"/>
    <mergeCell ref="C79:F79"/>
    <mergeCell ref="C77:E77"/>
    <mergeCell ref="C87:E87"/>
    <mergeCell ref="C88:E88"/>
    <mergeCell ref="C84:E84"/>
    <mergeCell ref="C85:E85"/>
    <mergeCell ref="C78:E78"/>
    <mergeCell ref="C86:F86"/>
    <mergeCell ref="C114:F114"/>
    <mergeCell ref="A180:B180"/>
    <mergeCell ref="A155:B155"/>
    <mergeCell ref="A140:B140"/>
    <mergeCell ref="A89:B89"/>
    <mergeCell ref="A120:B120"/>
    <mergeCell ref="C7:I7"/>
    <mergeCell ref="C12:I12"/>
    <mergeCell ref="C13:I13"/>
    <mergeCell ref="C14:I14"/>
    <mergeCell ref="C15:I15"/>
    <mergeCell ref="C2:I2"/>
    <mergeCell ref="A4:I4"/>
    <mergeCell ref="A3:I3"/>
    <mergeCell ref="A5:I5"/>
    <mergeCell ref="C6:I6"/>
    <mergeCell ref="A2:B2"/>
  </mergeCells>
  <phoneticPr fontId="21" type="noConversion"/>
  <pageMargins left="0.75" right="0.75" top="1" bottom="1" header="0.5" footer="0.5"/>
  <pageSetup paperSize="5" scale="13" fitToHeight="0" orientation="landscape" r:id="rId1"/>
  <ignoredErrors>
    <ignoredError sqref="G2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447675</xdr:colOff>
                    <xdr:row>26</xdr:row>
                    <xdr:rowOff>257175</xdr:rowOff>
                  </from>
                  <to>
                    <xdr:col>0</xdr:col>
                    <xdr:colOff>723900</xdr:colOff>
                    <xdr:row>28</xdr:row>
                    <xdr:rowOff>76200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447675</xdr:colOff>
                    <xdr:row>27</xdr:row>
                    <xdr:rowOff>257175</xdr:rowOff>
                  </from>
                  <to>
                    <xdr:col>0</xdr:col>
                    <xdr:colOff>723900</xdr:colOff>
                    <xdr:row>29</xdr:row>
                    <xdr:rowOff>76200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0</xdr:col>
                    <xdr:colOff>447675</xdr:colOff>
                    <xdr:row>28</xdr:row>
                    <xdr:rowOff>0</xdr:rowOff>
                  </from>
                  <to>
                    <xdr:col>0</xdr:col>
                    <xdr:colOff>723900</xdr:colOff>
                    <xdr:row>29</xdr:row>
                    <xdr:rowOff>95250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0</xdr:col>
                    <xdr:colOff>447675</xdr:colOff>
                    <xdr:row>28</xdr:row>
                    <xdr:rowOff>257175</xdr:rowOff>
                  </from>
                  <to>
                    <xdr:col>0</xdr:col>
                    <xdr:colOff>723900</xdr:colOff>
                    <xdr:row>30</xdr:row>
                    <xdr:rowOff>76200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0</xdr:col>
                    <xdr:colOff>447675</xdr:colOff>
                    <xdr:row>29</xdr:row>
                    <xdr:rowOff>257175</xdr:rowOff>
                  </from>
                  <to>
                    <xdr:col>0</xdr:col>
                    <xdr:colOff>723900</xdr:colOff>
                    <xdr:row>31</xdr:row>
                    <xdr:rowOff>76200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0</xdr:col>
                    <xdr:colOff>447675</xdr:colOff>
                    <xdr:row>30</xdr:row>
                    <xdr:rowOff>257175</xdr:rowOff>
                  </from>
                  <to>
                    <xdr:col>0</xdr:col>
                    <xdr:colOff>723900</xdr:colOff>
                    <xdr:row>32</xdr:row>
                    <xdr:rowOff>76200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0</xdr:col>
                    <xdr:colOff>447675</xdr:colOff>
                    <xdr:row>31</xdr:row>
                    <xdr:rowOff>257175</xdr:rowOff>
                  </from>
                  <to>
                    <xdr:col>0</xdr:col>
                    <xdr:colOff>723900</xdr:colOff>
                    <xdr:row>33</xdr:row>
                    <xdr:rowOff>76200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447675</xdr:colOff>
                    <xdr:row>32</xdr:row>
                    <xdr:rowOff>257175</xdr:rowOff>
                  </from>
                  <to>
                    <xdr:col>0</xdr:col>
                    <xdr:colOff>723900</xdr:colOff>
                    <xdr:row>34</xdr:row>
                    <xdr:rowOff>76200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0</xdr:col>
                    <xdr:colOff>447675</xdr:colOff>
                    <xdr:row>33</xdr:row>
                    <xdr:rowOff>257175</xdr:rowOff>
                  </from>
                  <to>
                    <xdr:col>0</xdr:col>
                    <xdr:colOff>723900</xdr:colOff>
                    <xdr:row>35</xdr:row>
                    <xdr:rowOff>76200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0</xdr:col>
                    <xdr:colOff>447675</xdr:colOff>
                    <xdr:row>34</xdr:row>
                    <xdr:rowOff>257175</xdr:rowOff>
                  </from>
                  <to>
                    <xdr:col>0</xdr:col>
                    <xdr:colOff>723900</xdr:colOff>
                    <xdr:row>36</xdr:row>
                    <xdr:rowOff>76200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0</xdr:col>
                    <xdr:colOff>447675</xdr:colOff>
                    <xdr:row>35</xdr:row>
                    <xdr:rowOff>257175</xdr:rowOff>
                  </from>
                  <to>
                    <xdr:col>0</xdr:col>
                    <xdr:colOff>723900</xdr:colOff>
                    <xdr:row>37</xdr:row>
                    <xdr:rowOff>76200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0</xdr:col>
                    <xdr:colOff>447675</xdr:colOff>
                    <xdr:row>36</xdr:row>
                    <xdr:rowOff>257175</xdr:rowOff>
                  </from>
                  <to>
                    <xdr:col>0</xdr:col>
                    <xdr:colOff>723900</xdr:colOff>
                    <xdr:row>38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Lists!$C$1:$C$3</xm:f>
          </x14:formula1>
          <xm:sqref>C223:E230 C221:E221 C112:E113 C72:E73 C166:E167 C202:E202 C45 C64:E70 C71 C87:C88 C115:E116 C273:E278 C118:E119 C141:E146 C148:E154 C162:E164 C156:E160 C169:E179 C181:E200 C204:E205 C261:E271 C77:C78 C232:E259 C90:E109 C207:E219 C52:E58 C80:E83 C84:C85 C121:E139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77BC28-1EDD-45EB-83ED-4A094D2D1541}"/>
</file>

<file path=customXml/itemProps2.xml><?xml version="1.0" encoding="utf-8"?>
<ds:datastoreItem xmlns:ds="http://schemas.openxmlformats.org/officeDocument/2006/customXml" ds:itemID="{F55CAEA4-7BD4-41F9-981E-DECC3F9FAE66}">
  <ds:schemaRefs>
    <ds:schemaRef ds:uri="http://schemas.microsoft.com/sharepoint/v3/contenttype/forms"/>
  </ds:schemaRefs>
</ds:datastoreItem>
</file>

<file path=customXml/itemProps3.xml><?xml version="1.0" encoding="utf-8"?>
<ds:datastoreItem xmlns:ds="http://schemas.openxmlformats.org/officeDocument/2006/customXml" ds:itemID="{8ABB29F3-5CBA-47FA-881D-6123E07025DF}">
  <ds:schemaRefs>
    <ds:schemaRef ds:uri="http://www.w3.org/XML/1998/namespace"/>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6dbdea58-36ce-4410-95f9-7df5ed4dea3b"/>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Use</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2020-05-08T16:57:36Z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y fmtid="{D5CDD505-2E9C-101B-9397-08002B2CF9AE}" pid="10" name="Doc ID 2">
    <vt:lpwstr>1395</vt:lpwstr>
  </property>
  <property fmtid="{D5CDD505-2E9C-101B-9397-08002B2CF9AE}" pid="11" name="Order">
    <vt:r8>53500</vt:r8>
  </property>
  <property fmtid="{D5CDD505-2E9C-101B-9397-08002B2CF9AE}" pid="12" name="TemplateUrl">
    <vt:lpwstr/>
  </property>
  <property fmtid="{D5CDD505-2E9C-101B-9397-08002B2CF9AE}" pid="13" name="xd_Signature">
    <vt:bool>false</vt:bool>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7" name="Doc ID">
    <vt:lpwstr>1395</vt:lpwstr>
  </property>
  <property fmtid="{D5CDD505-2E9C-101B-9397-08002B2CF9AE}" pid="18" name="Status">
    <vt:lpwstr>Superseded/Replaced</vt:lpwstr>
  </property>
</Properties>
</file>