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filterPrivacy="1" codeName="ThisWorkbook"/>
  <xr:revisionPtr revIDLastSave="0" documentId="8_{6104D5B3-831F-4848-8F2A-ABC4A5783A0F}" xr6:coauthVersionLast="45" xr6:coauthVersionMax="45" xr10:uidLastSave="{00000000-0000-0000-0000-000000000000}"/>
  <bookViews>
    <workbookView xWindow="-110" yWindow="-110" windowWidth="19420" windowHeight="10420" firstSheet="1" activeTab="1" xr2:uid="{00000000-000D-0000-FFFF-FFFF00000000}"/>
  </bookViews>
  <sheets>
    <sheet name="Lists" sheetId="5" state="hidden" r:id="rId1"/>
    <sheet name="Use" sheetId="6" r:id="rId2"/>
    <sheet name="Questions" sheetId="1" r:id="rId3"/>
  </sheets>
  <definedNames>
    <definedName name="_xlnm._FilterDatabase" localSheetId="2" hidden="1">Questions!$A$1:$FW$1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4" i="1" l="1"/>
  <c r="G141" i="1"/>
  <c r="G133" i="1"/>
  <c r="G129" i="1"/>
  <c r="G85" i="1" l="1"/>
  <c r="G288" i="1" l="1"/>
  <c r="G286" i="1"/>
  <c r="G284" i="1"/>
  <c r="G283" i="1"/>
  <c r="G282" i="1"/>
  <c r="G281" i="1"/>
  <c r="G279" i="1"/>
  <c r="G278" i="1"/>
  <c r="G277" i="1"/>
  <c r="G274" i="1"/>
  <c r="G272" i="1"/>
  <c r="G271" i="1"/>
  <c r="G270" i="1"/>
  <c r="G269" i="1"/>
  <c r="G266" i="1"/>
  <c r="G265" i="1"/>
  <c r="G264" i="1"/>
  <c r="G263" i="1"/>
  <c r="G262" i="1"/>
  <c r="G261" i="1"/>
  <c r="G260" i="1"/>
  <c r="G258" i="1"/>
  <c r="G257" i="1"/>
  <c r="G256" i="1"/>
  <c r="G255" i="1"/>
  <c r="G254" i="1"/>
  <c r="G252" i="1"/>
  <c r="G248" i="1"/>
  <c r="G243" i="1"/>
  <c r="G242" i="1"/>
  <c r="G241" i="1"/>
  <c r="G240" i="1"/>
  <c r="G238" i="1"/>
  <c r="G237" i="1"/>
  <c r="G236" i="1"/>
  <c r="G235" i="1"/>
  <c r="G234" i="1"/>
  <c r="G233" i="1"/>
  <c r="G232" i="1"/>
  <c r="G231" i="1"/>
  <c r="G226" i="1"/>
  <c r="G219" i="1"/>
  <c r="G215" i="1"/>
  <c r="G212" i="1"/>
  <c r="G210" i="1"/>
  <c r="G208" i="1"/>
  <c r="G206" i="1"/>
  <c r="G205" i="1"/>
  <c r="G204" i="1"/>
  <c r="G202" i="1"/>
  <c r="G201" i="1"/>
  <c r="G200" i="1"/>
  <c r="G199" i="1"/>
  <c r="G197" i="1"/>
  <c r="G196" i="1"/>
  <c r="G192" i="1"/>
  <c r="G191" i="1"/>
  <c r="G189" i="1"/>
  <c r="G179" i="1"/>
  <c r="G177" i="1"/>
  <c r="G175" i="1"/>
  <c r="G174" i="1"/>
  <c r="G172" i="1"/>
  <c r="G171" i="1"/>
  <c r="G170" i="1"/>
  <c r="G168" i="1"/>
  <c r="G166" i="1"/>
  <c r="G164" i="1"/>
  <c r="G162" i="1"/>
  <c r="G161" i="1"/>
  <c r="G160" i="1"/>
  <c r="G159" i="1"/>
  <c r="G158" i="1"/>
  <c r="G157" i="1"/>
  <c r="G156" i="1"/>
  <c r="G154" i="1"/>
  <c r="G153" i="1"/>
  <c r="G150" i="1"/>
  <c r="G149" i="1"/>
  <c r="G147" i="1"/>
  <c r="G146" i="1"/>
  <c r="G145" i="1"/>
  <c r="G143" i="1"/>
  <c r="G142" i="1"/>
  <c r="G140" i="1"/>
  <c r="G137" i="1"/>
  <c r="G135" i="1"/>
  <c r="G134" i="1"/>
  <c r="G132" i="1"/>
  <c r="G131" i="1"/>
  <c r="G130" i="1"/>
  <c r="G127" i="1"/>
  <c r="G126" i="1"/>
  <c r="G124" i="1"/>
  <c r="G123" i="1"/>
  <c r="G121" i="1"/>
  <c r="G120" i="1"/>
  <c r="G117" i="1"/>
  <c r="G116" i="1"/>
  <c r="G115" i="1"/>
  <c r="G114" i="1"/>
  <c r="G113" i="1"/>
  <c r="G112" i="1"/>
  <c r="G111" i="1"/>
  <c r="G110" i="1"/>
  <c r="G109" i="1"/>
  <c r="G108" i="1"/>
  <c r="G106" i="1"/>
  <c r="G105" i="1"/>
  <c r="G104" i="1"/>
  <c r="G101" i="1"/>
  <c r="G100" i="1"/>
  <c r="G99" i="1"/>
  <c r="G96" i="1"/>
  <c r="G95" i="1"/>
  <c r="G92" i="1"/>
  <c r="G80" i="1"/>
  <c r="G79" i="1"/>
  <c r="G78" i="1"/>
  <c r="G76" i="1"/>
  <c r="G75" i="1"/>
  <c r="G74" i="1"/>
  <c r="G73" i="1"/>
  <c r="G72" i="1"/>
  <c r="G66" i="1"/>
  <c r="G65" i="1"/>
  <c r="G61" i="1"/>
  <c r="G60" i="1"/>
  <c r="G46" i="1" l="1"/>
  <c r="G47" i="1"/>
  <c r="G48" i="1"/>
</calcChain>
</file>

<file path=xl/sharedStrings.xml><?xml version="1.0" encoding="utf-8"?>
<sst xmlns="http://schemas.openxmlformats.org/spreadsheetml/2006/main" count="786" uniqueCount="679">
  <si>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</si>
  <si>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</si>
  <si>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</si>
  <si>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</si>
  <si>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</si>
  <si>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</si>
  <si>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</si>
  <si>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</si>
  <si>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</si>
  <si>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</si>
  <si>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</si>
  <si>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</si>
  <si>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</si>
  <si>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</si>
  <si>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</si>
  <si>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</si>
  <si>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</si>
  <si>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Qualifiers</t>
  </si>
  <si>
    <t>Additional Information</t>
  </si>
  <si>
    <t>Guidance</t>
  </si>
  <si>
    <t>QUAL-01</t>
  </si>
  <si>
    <t>QUAL-02</t>
  </si>
  <si>
    <t>QUAL-03</t>
  </si>
  <si>
    <t>QUAL-04</t>
  </si>
  <si>
    <t>QUAL-05</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</si>
  <si>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</si>
  <si>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</si>
  <si>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</si>
  <si>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</si>
  <si>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</si>
  <si>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</si>
  <si>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</si>
  <si>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</si>
  <si>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</si>
  <si>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</si>
  <si>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</si>
  <si>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</si>
  <si>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</si>
  <si>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</si>
  <si>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</si>
  <si>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</si>
  <si>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</si>
  <si>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</si>
  <si>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</si>
  <si>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</si>
  <si>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</si>
  <si>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</si>
  <si>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</si>
  <si>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</si>
  <si>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</si>
  <si>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</si>
  <si>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</si>
  <si>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</si>
  <si>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</si>
  <si>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</si>
  <si>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</si>
  <si>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</si>
  <si>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</si>
  <si>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</si>
  <si>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DATA-06</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</si>
  <si>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</si>
  <si>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</si>
  <si>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</si>
  <si>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</si>
  <si>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</si>
  <si>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</si>
  <si>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</si>
  <si>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</si>
  <si>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</si>
  <si>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</si>
  <si>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</si>
  <si>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</si>
  <si>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</si>
  <si>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</si>
  <si>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</si>
  <si>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</si>
  <si>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</si>
  <si>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</si>
  <si>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Is the service hosted in a high availability environment?</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</si>
  <si>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</si>
  <si>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</si>
  <si>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</si>
  <si>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</si>
  <si>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</si>
  <si>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</si>
  <si>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</si>
  <si>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</si>
  <si>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Are individuals required to sign in/out for installation and removal of equipment?</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</si>
  <si>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</si>
  <si>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</si>
  <si>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</si>
  <si>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</si>
  <si>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</si>
  <si>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</si>
  <si>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</si>
  <si>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</si>
  <si>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</si>
  <si>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</si>
  <si>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VULN-04</t>
  </si>
  <si>
    <t>VULN-05</t>
  </si>
  <si>
    <t>VULN-06</t>
  </si>
  <si>
    <t>VULN-07</t>
  </si>
  <si>
    <t>VULN-08</t>
  </si>
  <si>
    <t>GNRL-13</t>
  </si>
  <si>
    <t xml:space="preserve">The Utility conducts Third Party Security Assessments on a variety of third parties. As such, not all assessment questions are relevant to each party. To alleviate complexity, a "qualifier" strategy is implemented and allows for various parties to utilize this common documentation instrument. Responses to the following questions will determine the need to answer additional questions below. </t>
  </si>
  <si>
    <t>Do you have existing energy sector customers?</t>
  </si>
  <si>
    <t xml:space="preserve">Do you require new employees to fill out agreements and review information security policies?  </t>
  </si>
  <si>
    <t xml:space="preserve">Describe or provide a reference to the tool(s) used to scan for vulnerabilities in your applications and systems. </t>
  </si>
  <si>
    <t>Utility Data Provided</t>
  </si>
  <si>
    <t>Personally Identifiable Information (PII)</t>
  </si>
  <si>
    <t>Credit Card Data/PCI</t>
  </si>
  <si>
    <t xml:space="preserve">Payroll Records </t>
  </si>
  <si>
    <t>Critical Energy Infrastructure Information (CEII)</t>
  </si>
  <si>
    <t>Customer Account Information</t>
  </si>
  <si>
    <t>Financial Records (e.g., budgetary, Form 10-k)</t>
  </si>
  <si>
    <t>Litigation related information</t>
  </si>
  <si>
    <t>Software source code</t>
  </si>
  <si>
    <t>Other – Please explain:</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</si>
  <si>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</si>
  <si>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</si>
  <si>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</si>
  <si>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</si>
  <si>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 you have a Business Continuity Plan (BCP) associated with the computing system(s)?</t>
  </si>
  <si>
    <t>Does your organization have a data privacy policy that applies to your computing systems?</t>
  </si>
  <si>
    <t>Can employees associated with the computing system access customer data/systems remotely?</t>
  </si>
  <si>
    <t>QUAL-06</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</si>
  <si>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</si>
  <si>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</si>
  <si>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</si>
  <si>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</si>
  <si>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</si>
  <si>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Does your computing system have user account passwords/passphrases stored encrypted?</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</si>
  <si>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</si>
  <si>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</si>
  <si>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</si>
  <si>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processes in place to handle utility data in a CUI or CEII compliant manner?</t>
  </si>
  <si>
    <t>Have your applications had a vulnerability assessment in the last year?</t>
  </si>
  <si>
    <t>Are your computing systems scanned externally and internally for vulnerabilities?</t>
  </si>
  <si>
    <t>Have your computing systems had an vulnerability assessment in the last year?</t>
  </si>
  <si>
    <t>Ensure that all parts of CHNG-04 are clearly stated in your response.</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</si>
  <si>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</si>
  <si>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</si>
  <si>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</si>
  <si>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</si>
  <si>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</si>
  <si>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</si>
  <si>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</si>
  <si>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</si>
  <si>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Does the process described in question above adhere to DoD 5220.22-M and/or NIST SP 800-88 standards?</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</si>
  <si>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</si>
  <si>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</si>
  <si>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</si>
  <si>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</si>
  <si>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</si>
  <si>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</si>
  <si>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</si>
  <si>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</si>
  <si>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Is security awareness and privacy training mandatory for all employees?</t>
  </si>
  <si>
    <t>Describe your authentication and authorization processes.</t>
  </si>
  <si>
    <t>Have your systems undergone third-party penetration testing?</t>
  </si>
  <si>
    <t>Do you have up-to-date antivirus on all end nodes?</t>
  </si>
  <si>
    <t>Are structured databases encrypted?</t>
  </si>
  <si>
    <t>Additional Comments</t>
  </si>
  <si>
    <t>AC-1</t>
  </si>
  <si>
    <t>Geolocation of Data Centers in Which Utility Data Will Be Stored</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</si>
  <si>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</si>
  <si>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</si>
  <si>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</si>
  <si>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</si>
  <si>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</si>
  <si>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</si>
  <si>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Ensure that all elements of AAAI-18 are clearly stated in your response.</t>
  </si>
  <si>
    <t>Ensure that all elements of VULN-06 are clearly stated in your response.</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</si>
  <si>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</si>
  <si>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</si>
  <si>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</si>
  <si>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</si>
  <si>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</si>
  <si>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</si>
  <si>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</si>
  <si>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</si>
  <si>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</si>
  <si>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</si>
  <si>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</si>
  <si>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Are development environments and systems separate from the main corporate network and any other networks?</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</si>
  <si>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</si>
  <si>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</si>
  <si>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</si>
  <si>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</si>
  <si>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</si>
  <si>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</si>
  <si>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</si>
  <si>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</si>
  <si>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</si>
  <si>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</si>
  <si>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</si>
  <si>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</si>
  <si>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</si>
  <si>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</si>
  <si>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</si>
  <si>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</si>
  <si>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</si>
  <si>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</si>
  <si>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</si>
  <si>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</si>
  <si>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</si>
  <si>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</si>
  <si>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</si>
  <si>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</si>
  <si>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</si>
  <si>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IAM-14</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</si>
  <si>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</si>
  <si>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</si>
  <si>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</si>
  <si>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</si>
  <si>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</si>
  <si>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</si>
  <si>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</si>
  <si>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</si>
  <si>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</si>
  <si>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</si>
  <si>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</si>
  <si>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</si>
  <si>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</si>
  <si>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</si>
  <si>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</si>
  <si>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</si>
  <si>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</si>
  <si>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</si>
  <si>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</si>
  <si>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</si>
  <si>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</si>
  <si>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</si>
  <si>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</si>
  <si>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</si>
  <si>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</si>
  <si>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</si>
  <si>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</si>
  <si>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</si>
  <si>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</si>
  <si>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</si>
  <si>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</si>
  <si>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</si>
  <si>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</si>
  <si>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</si>
  <si>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</si>
  <si>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</si>
  <si>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</si>
  <si>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</si>
  <si>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</si>
  <si>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</si>
  <si>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</si>
  <si>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</si>
  <si>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</si>
  <si>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</si>
  <si>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</si>
  <si>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</si>
  <si>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</si>
  <si>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</si>
  <si>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</si>
  <si>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</si>
  <si>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</si>
  <si>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</si>
  <si>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</si>
  <si>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</si>
  <si>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</si>
  <si>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</si>
  <si>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</si>
  <si>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</si>
  <si>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</si>
  <si>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</si>
  <si>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</si>
  <si>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</si>
  <si>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</si>
  <si>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</si>
  <si>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</si>
  <si>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</si>
  <si>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</si>
  <si>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VULN-09</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</si>
  <si>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</si>
  <si>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</si>
  <si>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</si>
  <si>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</si>
  <si>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</si>
  <si>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</si>
  <si>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</si>
  <si>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</si>
  <si>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Does your computing system host, support, or utilize a mobile application?</t>
  </si>
  <si>
    <t xml:space="preserve">Does your system process Controlled Unclassified Information (CUI) or Critical Energy Infrastructure Information (CEII) as part of its intended purpose for utility clients? </t>
  </si>
  <si>
    <t>RISK-15</t>
  </si>
  <si>
    <t>Share any details that would help information security analysts assess your product/services.</t>
  </si>
  <si>
    <t>Please include failover and disaster recovery sites.</t>
  </si>
  <si>
    <t>Do you monitor for intrusions on a 24x7x365 basis?</t>
  </si>
  <si>
    <t xml:space="preserve">Will any Utility data be stored or processed offsite, either temporarily or permanently? </t>
  </si>
  <si>
    <r>
      <t xml:space="preserve">Are your computing systems compliant with FISMA standards? Or, in the case of products configured by the utility client, do your products include features and capabilities that are in line with FISMA standards? </t>
    </r>
    <r>
      <rPr>
        <b/>
        <sz val="11"/>
        <color rgb="FF000000"/>
        <rFont val="Verdana"/>
        <family val="2"/>
      </rPr>
      <t>More information on FIMSA</t>
    </r>
    <r>
      <rPr>
        <sz val="11"/>
        <color rgb="FF000000"/>
        <rFont val="Verdana"/>
        <family val="2"/>
      </rPr>
      <t>: http://www.dhs.gov/FISMA</t>
    </r>
  </si>
  <si>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</si>
  <si>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</si>
  <si>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</si>
  <si>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</si>
  <si>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</si>
  <si>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</si>
  <si>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</si>
  <si>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</si>
  <si>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</si>
  <si>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</si>
  <si>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</si>
  <si>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</si>
  <si>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</si>
  <si>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</si>
  <si>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</si>
  <si>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</si>
  <si>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</si>
  <si>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</si>
  <si>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</si>
  <si>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</si>
  <si>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</si>
  <si>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</si>
  <si>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</si>
  <si>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</si>
  <si>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</si>
  <si>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</si>
  <si>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</si>
  <si>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</si>
  <si>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</si>
  <si>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</si>
  <si>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</si>
  <si>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</si>
  <si>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</si>
  <si>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Do you have a process through which you recommend actions to be taken by you and/or your customer on a customer-controlled system to reduce the risk of recurrence of the same or similar security incident, including, as appropriate, the provision of action plans and mitigating controls?</t>
  </si>
  <si>
    <t>IAM-25</t>
  </si>
  <si>
    <t>IAM-26</t>
  </si>
  <si>
    <t>IAM-27</t>
  </si>
  <si>
    <t>Where you are connected to other utility's systems, do you ensure that there is no undisclosed path or bridge into utility's systems from other utility's system through you?</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</si>
  <si>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</si>
  <si>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</si>
  <si>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</si>
  <si>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</si>
  <si>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</si>
  <si>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</si>
  <si>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</si>
  <si>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Do you review and update your cyber security incident response plan at least annually?</t>
  </si>
  <si>
    <t>EIR-07</t>
  </si>
  <si>
    <t>EIR-08</t>
  </si>
  <si>
    <t>Does your cyber security incident response plan contain steps to identify, contain, eradicate, and recover?</t>
  </si>
  <si>
    <t>EIR-09</t>
  </si>
  <si>
    <t>Please indicate the number of hours before notification is made to the utility customer.</t>
  </si>
  <si>
    <t>RISK-21</t>
  </si>
  <si>
    <t>THRD-13</t>
  </si>
  <si>
    <t>Does your information protection program include safeguards and notifications regarding the release of data to third parties?</t>
  </si>
  <si>
    <t>DATA-19</t>
  </si>
  <si>
    <t>DATA-20</t>
  </si>
  <si>
    <t>Does your information protection program prohibit access to customer data without authorization?</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</si>
  <si>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</si>
  <si>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</si>
  <si>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</si>
  <si>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</si>
  <si>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</si>
  <si>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</si>
  <si>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</si>
  <si>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</si>
  <si>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</si>
  <si>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</si>
  <si>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RISK-24</t>
  </si>
  <si>
    <t>CSPM-19</t>
  </si>
  <si>
    <t>CHNG-14</t>
  </si>
  <si>
    <t>Do you provide a specific list of, and justifications for, required logical ports (which may include limited ranges) and services required for its deliverables (either products or services)?</t>
  </si>
  <si>
    <t>VULN-16</t>
  </si>
  <si>
    <t>Do you digitally sign and validate software, patches, and firmware prior to distribution?</t>
  </si>
  <si>
    <t>Please summarize the technical controls in "Additional Information."</t>
  </si>
  <si>
    <t>VULN-17</t>
  </si>
  <si>
    <t>VULN-18</t>
  </si>
  <si>
    <t>IAM-28</t>
  </si>
  <si>
    <t>Do you have controls implemented and designed to manage the use of devices that access your customer's facilities, networks, or systems?</t>
  </si>
  <si>
    <t>RISK-25</t>
  </si>
  <si>
    <t>THRD-15</t>
  </si>
  <si>
    <t>Do you require your applicable third parties to have a designated privacy function responsible for its privacy policy and program as it relates to Privacy Data?</t>
  </si>
  <si>
    <t>Do you have secure system hardening guidelines and procedures for products developed or provided by you to your customer?</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</si>
  <si>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</si>
  <si>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</si>
  <si>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</si>
  <si>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</si>
  <si>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Is media used for long-term retention of customer's business data and archival purposes stored in a secure, environmentally protected area?</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</si>
  <si>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</si>
  <si>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</si>
  <si>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</si>
  <si>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</si>
  <si>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</si>
  <si>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</si>
  <si>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</si>
  <si>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</si>
  <si>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</si>
  <si>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</si>
  <si>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</si>
  <si>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</si>
  <si>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</si>
  <si>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</si>
  <si>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</si>
  <si>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</si>
  <si>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 xml:space="preserve">Do you have a process to notify the utility of any supplier-identified cyber or physical security incidents related to your products or services that could pose risk to the utility? </t>
  </si>
  <si>
    <t>Do you have a process through which you investigate whether computer viruses or malware are present in any software or patches before providing such software or patches?</t>
  </si>
  <si>
    <t>Do you agree to remediate any security risks identified by your customer, their representative, or any industry-recognized vulnerability research or assessment organization within a pre-negotiated timeframe?</t>
  </si>
  <si>
    <t>Do you conduct an annual review of all individuals' access to the utility's assets, systems, networks, information, and facilities for which you provision and deprovision access?</t>
  </si>
  <si>
    <t>Do you maintain a list of all individuals with access to your assets, systems, networks, information, and/or facilities?</t>
  </si>
  <si>
    <t>For access within supplier's system functioning as a BCSI repository for entity data, has supplier implemented procedures to revoke access within 24 hours when any individual no longer requires access due to change in employment status or job duties?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</si>
  <si>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</si>
  <si>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</si>
  <si>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</si>
  <si>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</si>
  <si>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</si>
  <si>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Type (Primary or Supporting)</t>
  </si>
  <si>
    <t>RISK-27</t>
  </si>
  <si>
    <t>Do you have a process by which you will notify your customers when production and/or operation of products and/or services changes to another provider or location?</t>
  </si>
  <si>
    <t>Does your cyber incident response plan contain a requirement to notify customers that purchased the impacted products or services within 24 hours of initiation of your plan?</t>
  </si>
  <si>
    <t>Do you have a process to notify customers of any supplier-identified cyber or physical security incidents related to your products or services that could pose risk to the utility?</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</si>
  <si>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</si>
  <si>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</si>
  <si>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</si>
  <si>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</si>
  <si>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</si>
  <si>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</si>
  <si>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</si>
  <si>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</si>
  <si>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</si>
  <si>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EIR-11</t>
  </si>
  <si>
    <t>EIR-12</t>
  </si>
  <si>
    <t>EIR-13</t>
  </si>
  <si>
    <t>that makes</t>
  </si>
  <si>
    <t>Dun &amp; Bradstreet Number</t>
  </si>
  <si>
    <t>Annual Gross Revenue</t>
  </si>
  <si>
    <t>Number of Employees</t>
  </si>
  <si>
    <t>Number of Contractors</t>
  </si>
  <si>
    <t>Number of contractors the organization employs in countries other than the United States or Canada (indicate if none)</t>
  </si>
  <si>
    <t>Number of Contractors In Countries Other than the Untied States or Canada</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</si>
  <si>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</si>
  <si>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</si>
  <si>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</si>
  <si>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</si>
  <si>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</si>
  <si>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</si>
  <si>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</si>
  <si>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</si>
  <si>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</si>
  <si>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</si>
  <si>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</si>
  <si>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</si>
  <si>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</si>
  <si>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</si>
  <si>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</si>
  <si>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</si>
  <si>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</si>
  <si>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Do you have cyber security risk insurance?
If yes, please provide coverage amounts.</t>
  </si>
  <si>
    <t>COMP-13</t>
  </si>
  <si>
    <t>COMP-14</t>
  </si>
  <si>
    <t>COMP-15</t>
  </si>
  <si>
    <t>Supports (39)</t>
  </si>
  <si>
    <t>Supports (39, 45)</t>
  </si>
  <si>
    <t>Primary (2)</t>
  </si>
  <si>
    <t>Supports (48)</t>
  </si>
  <si>
    <t>Supports (49, 58)</t>
  </si>
  <si>
    <t xml:space="preserve">Primary (59)
Supports (20)
</t>
  </si>
  <si>
    <t>Primary (48)</t>
  </si>
  <si>
    <t>Primary (23)</t>
  </si>
  <si>
    <t>Supports (23, 59)</t>
  </si>
  <si>
    <t>Primary (39)</t>
  </si>
  <si>
    <t>Supports (55)</t>
  </si>
  <si>
    <t>Supports (4)</t>
  </si>
  <si>
    <t>Primary (3)</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</si>
  <si>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</si>
  <si>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 xml:space="preserve"> Represents 13</t>
  </si>
  <si>
    <t xml:space="preserve">Primary (13)
Supports (8, 10, 11)
</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</si>
  <si>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</si>
  <si>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</si>
  <si>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</si>
  <si>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</si>
  <si>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</si>
  <si>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</si>
  <si>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</si>
  <si>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</si>
  <si>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</si>
  <si>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</si>
  <si>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</si>
  <si>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</si>
  <si>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Do you maintain an access list of all individuals with access to entity’s assets, information and facilities?</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</si>
  <si>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</si>
  <si>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</si>
  <si>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</si>
  <si>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</si>
  <si>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</si>
  <si>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</si>
  <si>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</si>
  <si>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</si>
  <si>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</si>
  <si>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</si>
  <si>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</si>
  <si>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</si>
  <si>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</si>
  <si>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</si>
  <si>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</si>
  <si>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</si>
  <si>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</si>
  <si>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</si>
  <si>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</si>
  <si>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</si>
  <si>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</si>
  <si>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</si>
  <si>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</si>
  <si>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</si>
  <si>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</si>
  <si>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</si>
  <si>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</si>
  <si>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</si>
  <si>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</si>
  <si>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(45)</t>
  </si>
  <si>
    <t>Supports (42)</t>
  </si>
  <si>
    <t>Primary (38)</t>
  </si>
  <si>
    <t>Primary (41)</t>
  </si>
  <si>
    <t>Primary (43)</t>
  </si>
  <si>
    <t>Primary (45)</t>
  </si>
  <si>
    <t>Primary (52)</t>
  </si>
  <si>
    <t>Does your company have a cyber incident response plan/process, including when notification would be provided to customers?</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</si>
  <si>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</si>
  <si>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</si>
  <si>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</si>
  <si>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</si>
  <si>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</si>
  <si>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</si>
  <si>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</si>
  <si>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</si>
  <si>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</si>
  <si>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26, 31</t>
  </si>
  <si>
    <t>Primary (26, 31)</t>
  </si>
  <si>
    <t>Have you taken appropriate action in response to assessment(s) of your cyber incident response plan/process?</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</si>
  <si>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</si>
  <si>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</si>
  <si>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</si>
  <si>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</si>
  <si>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</si>
  <si>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</si>
  <si>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</si>
  <si>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</si>
  <si>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</si>
  <si>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</si>
  <si>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</si>
  <si>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</si>
  <si>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</si>
  <si>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RISK-28</t>
  </si>
  <si>
    <t>Primary (20)</t>
  </si>
  <si>
    <t>Primary (57)</t>
  </si>
  <si>
    <t>Represents 55 (with RISK-55)</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</si>
  <si>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</si>
  <si>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</si>
  <si>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</si>
  <si>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</si>
  <si>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</si>
  <si>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</si>
  <si>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</si>
  <si>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Will Utility data be shared with or hosted by any third parties? (e.g., any entity not wholly-owned by the utility company is considered a third-party)  
                                                                                                                                                                                                             Note: The Utility views hosting solutions such as AWS, Azure, and other PaaS/SaaS offerings as third parties. If services such as these are used in your environment, respond "Yes."</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</si>
  <si>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</si>
  <si>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</si>
  <si>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</si>
  <si>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</si>
  <si>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</si>
  <si>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</si>
  <si>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</si>
  <si>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</si>
  <si>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</si>
  <si>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 xml:space="preserve">Have you implemented security controls for the use of devices that access entity's system (e.g., mobile, laptop, non-company devices)? </t>
  </si>
  <si>
    <t>Are there any OS (e.g., servers, PCs, switches, routers, etc.) that are not currently supported?</t>
  </si>
  <si>
    <t>Provide any countries other than the United States or Canada in which supplier operates (has an office, sells product, or conducts any business) (indicate if none) and describe activities conducted in each.</t>
  </si>
  <si>
    <t>Provide any countries other than the United States or Canada in which supplier's product (i.e., hardware, software, firmware, or components) is manufactured or developed (indicate if none) and describe activities conducted in each.</t>
  </si>
  <si>
    <t>Provide any countries other than the United States or Canada in which supplier's product (i.e., hardware, software, firmware, or components) is assembled (indicate if none) and describe activities conducted in each.</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</si>
  <si>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</si>
  <si>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</si>
  <si>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</si>
  <si>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</si>
  <si>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</si>
  <si>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</si>
  <si>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</si>
  <si>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</si>
  <si>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 xml:space="preserve">Provide the findings reports from third-party verifications conducted for cyber security frameworks (provide the two most recent reports for each cyber security framework). </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</si>
  <si>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</si>
  <si>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</si>
  <si>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</si>
  <si>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</si>
  <si>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Does your personnel vetting process allow you to share background check criteria and results with entity for confirmation of process or verification of sampled employees?</t>
  </si>
  <si>
    <t>Version 1.0</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</si>
  <si>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</si>
  <si>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</si>
  <si>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</si>
  <si>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</si>
  <si>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into the entity's systems, do you have an implemented process to obtain authorization from entity prior to initializing each remote access session?</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</si>
  <si>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</si>
  <si>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</si>
  <si>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</si>
  <si>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</si>
  <si>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</si>
  <si>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</si>
  <si>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Do you have a business continuity plan (BCP) to support ongoing operations of your systems and scope of equipment and/or services provided to the entity?</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</si>
  <si>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</si>
  <si>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</si>
  <si>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</si>
  <si>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</si>
  <si>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</si>
  <si>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</si>
  <si>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</si>
  <si>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</si>
  <si>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</si>
  <si>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</si>
  <si>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</si>
  <si>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</si>
  <si>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</si>
  <si>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</si>
  <si>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</si>
  <si>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</si>
  <si>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</si>
  <si>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</si>
  <si>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</si>
  <si>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</si>
  <si>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</si>
  <si>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backups containing the utility's data ever leave the computing system boundaries, either physically or via network routing?</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</si>
  <si>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</si>
  <si>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</si>
  <si>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Is utility unstructured data (e.g., fileshares) encrypted?</t>
  </si>
  <si>
    <t>Does your system employ encryption technologies (e.g., SSH, SSL/TLS, VPN) when transmitting sensitive information over TCP/IP networks (e.g., system-to-system and system-to-client)?</t>
  </si>
  <si>
    <t>List all locations (countries) where the utility's data will be stored.</t>
  </si>
  <si>
    <t>Will any utility data be stored in the cloud?</t>
  </si>
  <si>
    <t>Are you performing off site backups (i.e., digitally/physically moved off site)?</t>
  </si>
  <si>
    <t>Does your cyber incident response plan include a requirement to perform an after-action review, demonstrate corrective actions (e.g., lessons learned), and update your plan accordingly?</t>
  </si>
  <si>
    <t>Does your cyber security incident response plan contain clear roles and responsibilities that include coordination of responses to your customer(s)?</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</si>
  <si>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</si>
  <si>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</si>
  <si>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</si>
  <si>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</si>
  <si>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a means by which your customer can verify the source of software, firmware, patch, and data downloads is authentic?</t>
  </si>
  <si>
    <t>Do you have the ability to send automated notifications of and respond to software, patches, and firmware integrity violations?</t>
  </si>
  <si>
    <t>Do you establish and maintain a security program for the product(s) or service(s) being purchased, including implemented processes to verify the integrity and authenticity of the software, patches, and firmware relevant to the product(s) or service(s) being delivered to the entity?</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</si>
  <si>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</si>
  <si>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</si>
  <si>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Do your computing systems conform with a specific industry standard security framework (e.g., NIST Cybersecurity Framework, ISO 27001, etc.)?</t>
  </si>
  <si>
    <t>Are employees allowed to take utility's data out of the computing system in any form?</t>
  </si>
  <si>
    <r>
      <t>Are there any web browsers that are not currently supported?</t>
    </r>
    <r>
      <rPr>
        <u/>
        <sz val="11"/>
        <color theme="1"/>
        <rFont val="Verdana"/>
        <family val="2"/>
      </rPr>
      <t xml:space="preserve"> </t>
    </r>
  </si>
  <si>
    <t>Do you provide inspection process document for the utility to receive equipment?</t>
  </si>
  <si>
    <t>Can a copy of your most recent application code review or penetration testing reports (carried out by independent third party) be given to utility clients?</t>
  </si>
  <si>
    <t>Do you have a process or program through which you notify your customers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</si>
  <si>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</si>
  <si>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</si>
  <si>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Will you allow the utility to perform its own security testing of your systems and/or application provided that testing is performed at a mutually agreed upon time and date?</t>
  </si>
  <si>
    <t>Ensure that all elements of MAPP-02 are clearly stated in your response. (i.e., architecture AND functionality are defined)</t>
  </si>
  <si>
    <t>Open Distribution for Supply Chain Materials</t>
  </si>
  <si>
    <t>Version: 1.0</t>
  </si>
  <si>
    <t>Document ID: 1394</t>
  </si>
  <si>
    <t>Energy Sector Supply Chain Risk Questionnaire - Formatted</t>
  </si>
  <si>
    <t>Published
5/8/2020</t>
  </si>
  <si>
    <t>GNRL-01 through GNRL-20; populated by the supplier</t>
  </si>
  <si>
    <t>In order to protect the utility and its systems, suppliers whose products and/or services will access and/or host utility data must complete the Energy Sector Supply Chain Risk Questionnaire. Throughout this tool, anywhere where the term data is used, this is an all-encompassing term including at least data and metadata. Answers will be reviewed by utility security analysts upon submittal. This process will assist the utility in preventing breaches of protected information and comply with utility policy, state, and federal law. This is intended for use by suppliers participating in a third-party security assessment and should be completed by a supplier. Review the Instructions tab for further guidance.</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</si>
  <si>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</si>
  <si>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</si>
  <si>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</si>
  <si>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</si>
  <si>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</si>
  <si>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</si>
  <si>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</si>
  <si>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</si>
  <si>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</si>
  <si>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</si>
  <si>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</si>
  <si>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</si>
  <si>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</si>
  <si>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</si>
  <si>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</si>
  <si>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</si>
  <si>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</si>
  <si>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Step 1: Complete the Qualifiers section first. 
Step 2: Complete each section answering each set of questions in order from top to bottom; the built-in formatting logic relies on this order. 
Step 3: Submit the completed Energy Sector Supply Chain Risk Questionnaire to the utility according to utility's procedures.  
Some questions may be highlighted in yellow based on responses to previous questions. Please note that the completion of questions highlighted in yellow is optional.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t>
  </si>
  <si>
    <t>Supplier Corporate Systems</t>
  </si>
  <si>
    <t>Supplier Product</t>
  </si>
  <si>
    <t>Supplier Development Systems</t>
  </si>
  <si>
    <t>Select "yes" in cell C51 to highlight questions that support the NATF Criteria in green.</t>
  </si>
  <si>
    <t>The NATF permits the use of the content contained herein (“Content”) without modification; however, any such use must include this notice and reference the associated NATF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</si>
  <si>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t>Copyright © 2020 North American Transmission Forum (“NATF”).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</si>
</sst>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8" x14ac:knownFonts="1">
    <font>
      <sz val="12"/>
      <color indexed="8"/>
      <name val="Verdana"/>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1"/>
      <name val="Verdana"/>
      <family val="2"/>
    </font>
    <font>
      <sz val="12"/>
      <color theme="0"/>
      <name val="Verdana"/>
      <family val="2"/>
    </font>
    <font>
      <b/>
      <sz val="14"/>
      <color theme="0" tint="-0.249977111117893"/>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b/>
      <sz val="11"/>
      <color rgb="FF000000"/>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b/>
      <sz val="24"/>
      <color theme="4" tint="-0.499984740745262"/>
      <name val="Calibri Light"/>
      <family val="2"/>
      <scheme val="major"/>
    </font>
    <font>
      <sz val="11"/>
      <name val="Calibri"/>
      <family val="2"/>
      <scheme val="minor"/>
    </font>
    <font>
      <b/>
      <sz val="12"/>
      <color theme="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s>
  <cellStyleXfs count="1">
    <xf numFmtId="0" fontId="0" fillId="0" borderId="0" applyNumberFormat="0" applyFill="0" applyBorder="0" applyProtection="0">
      <alignment vertical="top" wrapText="1"/>
    </xf>
  </cellStyleXfs>
  <cellXfs count="102">
    <xf numFmtId="0" fontId="0" fillId="0" borderId="0" xfId="0">
      <alignment vertical="top" wrapText="1"/>
    </xf>
    <xf numFmtId="0" fontId="3" fillId="0" borderId="0" xfId="0" applyNumberFormat="1" applyFont="1" applyAlignment="1"/>
    <xf numFmtId="0" fontId="0" fillId="0" borderId="0" xfId="0" applyFont="1" applyAlignment="1">
      <alignment vertical="top" wrapText="1"/>
    </xf>
    <xf numFmtId="0" fontId="7" fillId="4" borderId="1" xfId="0" applyNumberFormat="1"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4" fillId="2" borderId="1" xfId="0" applyNumberFormat="1" applyFont="1" applyFill="1" applyBorder="1" applyAlignment="1">
      <alignment vertical="center" wrapText="1"/>
    </xf>
    <xf numFmtId="1" fontId="12" fillId="2" borderId="1" xfId="0" applyNumberFormat="1" applyFont="1" applyFill="1" applyBorder="1" applyAlignment="1">
      <alignment vertical="center" wrapText="1"/>
    </xf>
    <xf numFmtId="0" fontId="13" fillId="8" borderId="1" xfId="0" applyFont="1" applyFill="1" applyBorder="1" applyAlignment="1">
      <alignment vertical="center" wrapText="1"/>
    </xf>
    <xf numFmtId="0" fontId="12" fillId="2" borderId="1" xfId="0" applyNumberFormat="1" applyFont="1" applyFill="1" applyBorder="1" applyAlignment="1">
      <alignment vertical="center" wrapText="1"/>
    </xf>
    <xf numFmtId="0" fontId="12" fillId="2" borderId="1" xfId="0" applyFont="1" applyFill="1" applyBorder="1" applyAlignment="1">
      <alignment vertical="center" wrapText="1"/>
    </xf>
    <xf numFmtId="0" fontId="3" fillId="0" borderId="0" xfId="0" applyNumberFormat="1" applyFont="1" applyAlignment="1">
      <alignment horizontal="center" vertical="center"/>
    </xf>
    <xf numFmtId="0" fontId="3" fillId="0" borderId="0" xfId="0" applyNumberFormat="1" applyFont="1" applyAlignment="1">
      <alignment wrapText="1"/>
    </xf>
    <xf numFmtId="0" fontId="11" fillId="0" borderId="0" xfId="0" applyNumberFormat="1" applyFont="1" applyBorder="1" applyAlignment="1">
      <alignment wrapText="1"/>
    </xf>
    <xf numFmtId="0" fontId="2" fillId="9" borderId="1" xfId="0" applyNumberFormat="1" applyFont="1" applyFill="1" applyBorder="1" applyAlignment="1">
      <alignment horizontal="center" vertical="center" wrapText="1"/>
    </xf>
    <xf numFmtId="0" fontId="3" fillId="2" borderId="4" xfId="0" applyFont="1" applyFill="1" applyBorder="1" applyAlignment="1">
      <alignment vertical="center" wrapText="1"/>
    </xf>
    <xf numFmtId="0" fontId="0" fillId="2" borderId="0" xfId="0" applyFill="1" applyBorder="1" applyAlignment="1">
      <alignment vertical="top"/>
    </xf>
    <xf numFmtId="0" fontId="3" fillId="2" borderId="0" xfId="0" applyFont="1" applyFill="1" applyBorder="1" applyAlignment="1">
      <alignment vertical="center"/>
    </xf>
    <xf numFmtId="0" fontId="15" fillId="2" borderId="0" xfId="0" applyFont="1" applyFill="1" applyBorder="1" applyAlignment="1">
      <alignment vertical="center" wrapText="1"/>
    </xf>
    <xf numFmtId="0" fontId="18" fillId="7" borderId="1" xfId="0" applyFont="1" applyFill="1" applyBorder="1" applyAlignment="1">
      <alignment vertical="center" wrapText="1"/>
    </xf>
    <xf numFmtId="0" fontId="17" fillId="3" borderId="1" xfId="0" applyNumberFormat="1" applyFont="1" applyFill="1" applyBorder="1" applyAlignment="1">
      <alignment vertical="center" wrapText="1"/>
    </xf>
    <xf numFmtId="1" fontId="17" fillId="3" borderId="1" xfId="0" applyNumberFormat="1" applyFont="1" applyFill="1" applyBorder="1" applyAlignment="1">
      <alignment vertical="center" wrapText="1"/>
    </xf>
    <xf numFmtId="0" fontId="17" fillId="7" borderId="1" xfId="0" applyFont="1" applyFill="1" applyBorder="1" applyAlignment="1">
      <alignment vertical="center" wrapText="1"/>
    </xf>
    <xf numFmtId="0" fontId="17" fillId="7" borderId="1" xfId="0" applyFont="1" applyFill="1" applyBorder="1" applyAlignment="1">
      <alignment vertical="center" wrapText="1"/>
    </xf>
    <xf numFmtId="0" fontId="3" fillId="2" borderId="1" xfId="0" applyNumberFormat="1" applyFont="1" applyFill="1" applyBorder="1" applyAlignment="1">
      <alignment vertical="center" wrapText="1"/>
    </xf>
    <xf numFmtId="0" fontId="17" fillId="10" borderId="1" xfId="0" applyNumberFormat="1" applyFont="1" applyFill="1" applyBorder="1" applyAlignment="1">
      <alignment vertical="center" wrapText="1"/>
    </xf>
    <xf numFmtId="1" fontId="20" fillId="0" borderId="1" xfId="0" applyNumberFormat="1" applyFont="1" applyFill="1" applyBorder="1" applyAlignment="1">
      <alignment vertical="center" wrapText="1"/>
    </xf>
    <xf numFmtId="1" fontId="12" fillId="10" borderId="1" xfId="0" applyNumberFormat="1" applyFont="1" applyFill="1" applyBorder="1" applyAlignment="1">
      <alignment vertical="center" wrapText="1"/>
    </xf>
    <xf numFmtId="0" fontId="4" fillId="10" borderId="1" xfId="0" applyNumberFormat="1" applyFont="1" applyFill="1" applyBorder="1" applyAlignment="1">
      <alignment vertical="center" wrapText="1"/>
    </xf>
    <xf numFmtId="0" fontId="20" fillId="3" borderId="1" xfId="0" applyNumberFormat="1" applyFont="1" applyFill="1" applyBorder="1" applyAlignment="1">
      <alignment horizontal="left" vertical="center" wrapText="1"/>
    </xf>
    <xf numFmtId="0" fontId="17" fillId="2" borderId="1" xfId="0" applyNumberFormat="1" applyFont="1" applyFill="1" applyBorder="1" applyAlignment="1">
      <alignment vertical="center" wrapText="1"/>
    </xf>
    <xf numFmtId="1" fontId="17" fillId="0" borderId="1" xfId="0" applyNumberFormat="1" applyFont="1" applyFill="1" applyBorder="1" applyAlignment="1">
      <alignment vertical="center" wrapText="1"/>
    </xf>
    <xf numFmtId="0" fontId="17" fillId="2" borderId="4" xfId="0" applyFont="1" applyFill="1" applyBorder="1" applyAlignment="1">
      <alignment vertical="center" wrapText="1"/>
    </xf>
    <xf numFmtId="0" fontId="20"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8" fillId="0" borderId="1" xfId="0" applyFont="1" applyFill="1" applyBorder="1" applyAlignment="1">
      <alignment vertical="center" wrapText="1"/>
    </xf>
    <xf numFmtId="0" fontId="12" fillId="11" borderId="1" xfId="0" applyFont="1" applyFill="1" applyBorder="1" applyAlignment="1">
      <alignment vertical="center" wrapText="1"/>
    </xf>
    <xf numFmtId="0" fontId="17" fillId="0" borderId="1" xfId="0" applyNumberFormat="1" applyFont="1" applyFill="1" applyBorder="1" applyAlignment="1">
      <alignment vertical="center" wrapText="1"/>
    </xf>
    <xf numFmtId="0" fontId="20" fillId="0" borderId="1" xfId="0" applyNumberFormat="1" applyFont="1" applyFill="1" applyBorder="1" applyAlignment="1">
      <alignment vertical="center" wrapText="1"/>
    </xf>
    <xf numFmtId="0" fontId="3" fillId="2" borderId="0" xfId="0" applyFont="1" applyFill="1" applyBorder="1" applyAlignment="1">
      <alignment vertical="center"/>
    </xf>
    <xf numFmtId="0" fontId="3" fillId="2" borderId="5" xfId="0" applyFont="1" applyFill="1" applyBorder="1" applyAlignment="1">
      <alignment vertical="center"/>
    </xf>
    <xf numFmtId="0" fontId="2" fillId="9"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xf>
    <xf numFmtId="0" fontId="3" fillId="0" borderId="0" xfId="0" applyNumberFormat="1" applyFont="1" applyAlignment="1">
      <alignment horizontal="left" vertical="center"/>
    </xf>
    <xf numFmtId="0" fontId="3" fillId="2" borderId="0" xfId="0" applyNumberFormat="1" applyFont="1" applyFill="1" applyBorder="1" applyAlignment="1">
      <alignment horizontal="left" vertical="center"/>
    </xf>
    <xf numFmtId="0" fontId="3" fillId="2" borderId="6" xfId="0" applyNumberFormat="1" applyFont="1" applyFill="1" applyBorder="1" applyAlignment="1">
      <alignment horizontal="left" vertical="center"/>
    </xf>
    <xf numFmtId="0" fontId="17" fillId="7" borderId="1" xfId="0" applyFont="1" applyFill="1" applyBorder="1" applyAlignment="1">
      <alignment vertical="center" wrapText="1"/>
    </xf>
    <xf numFmtId="0" fontId="17" fillId="3" borderId="1" xfId="0" applyNumberFormat="1" applyFont="1" applyFill="1" applyBorder="1" applyAlignment="1">
      <alignment horizontal="left" vertical="center" wrapText="1"/>
    </xf>
    <xf numFmtId="0" fontId="17" fillId="2" borderId="1" xfId="0" applyNumberFormat="1" applyFont="1" applyFill="1" applyBorder="1" applyAlignment="1">
      <alignment horizontal="left" vertical="center" wrapText="1"/>
    </xf>
    <xf numFmtId="0" fontId="17" fillId="2" borderId="1" xfId="0" applyNumberFormat="1" applyFont="1" applyFill="1" applyBorder="1" applyAlignment="1">
      <alignment horizontal="center" vertical="center"/>
    </xf>
    <xf numFmtId="0" fontId="17" fillId="2" borderId="1" xfId="0" applyNumberFormat="1" applyFont="1" applyFill="1" applyBorder="1" applyAlignment="1">
      <alignment horizontal="center" vertical="center" wrapText="1"/>
    </xf>
    <xf numFmtId="0" fontId="17" fillId="8" borderId="1" xfId="0" applyFont="1" applyFill="1" applyBorder="1" applyAlignment="1">
      <alignment vertical="center" wrapText="1"/>
    </xf>
    <xf numFmtId="0" fontId="17"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 fontId="23" fillId="0" borderId="1" xfId="0" applyNumberFormat="1" applyFont="1" applyFill="1" applyBorder="1" applyAlignment="1">
      <alignment vertical="center" wrapText="1"/>
    </xf>
    <xf numFmtId="0" fontId="12"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0" fillId="0" borderId="0" xfId="0" applyAlignment="1">
      <alignment vertical="top"/>
    </xf>
    <xf numFmtId="0" fontId="24" fillId="0" borderId="0" xfId="0" applyFont="1" applyAlignment="1">
      <alignment horizontal="justify" vertical="center"/>
    </xf>
    <xf numFmtId="0" fontId="0" fillId="0" borderId="0" xfId="0" applyAlignment="1"/>
    <xf numFmtId="0" fontId="25" fillId="0" borderId="0" xfId="0" applyFont="1" applyAlignment="1"/>
    <xf numFmtId="0" fontId="26" fillId="0" borderId="0" xfId="0" applyFont="1" applyAlignment="1"/>
    <xf numFmtId="0" fontId="27" fillId="0" borderId="0" xfId="0" applyFont="1" applyAlignment="1"/>
    <xf numFmtId="0" fontId="0" fillId="0" borderId="0" xfId="0" applyAlignment="1">
      <alignment horizontal="justify" vertical="center"/>
    </xf>
    <xf numFmtId="0" fontId="7" fillId="4" borderId="1" xfId="0" applyNumberFormat="1" applyFont="1" applyFill="1" applyBorder="1" applyAlignment="1">
      <alignment horizontal="left" vertical="center" wrapText="1"/>
    </xf>
    <xf numFmtId="0" fontId="17" fillId="3" borderId="1" xfId="0" applyNumberFormat="1" applyFont="1" applyFill="1" applyBorder="1" applyAlignment="1">
      <alignment horizontal="left" vertical="center" wrapText="1"/>
    </xf>
    <xf numFmtId="0" fontId="17" fillId="7" borderId="1" xfId="0" applyFont="1" applyFill="1" applyBorder="1" applyAlignment="1">
      <alignment vertical="center" wrapText="1"/>
    </xf>
    <xf numFmtId="0" fontId="22" fillId="0" borderId="2" xfId="0" applyNumberFormat="1" applyFont="1" applyFill="1" applyBorder="1" applyAlignment="1">
      <alignment horizontal="left" vertical="center" wrapText="1"/>
    </xf>
    <xf numFmtId="0" fontId="22" fillId="0" borderId="3" xfId="0" applyNumberFormat="1" applyFont="1" applyFill="1" applyBorder="1" applyAlignment="1">
      <alignment horizontal="left" vertical="center" wrapText="1"/>
    </xf>
    <xf numFmtId="0" fontId="22" fillId="0" borderId="4" xfId="0" applyNumberFormat="1" applyFont="1" applyFill="1" applyBorder="1" applyAlignment="1">
      <alignment horizontal="left" vertical="center" wrapText="1"/>
    </xf>
    <xf numFmtId="0" fontId="22" fillId="0" borderId="2" xfId="0" applyNumberFormat="1" applyFont="1" applyFill="1" applyBorder="1" applyAlignment="1">
      <alignment vertical="center" wrapText="1"/>
    </xf>
    <xf numFmtId="0" fontId="22" fillId="0" borderId="3" xfId="0" applyNumberFormat="1" applyFont="1" applyFill="1" applyBorder="1" applyAlignment="1">
      <alignment vertical="center" wrapText="1"/>
    </xf>
    <xf numFmtId="0" fontId="22" fillId="0" borderId="4" xfId="0" applyNumberFormat="1" applyFont="1" applyFill="1" applyBorder="1" applyAlignment="1">
      <alignment vertical="center" wrapText="1"/>
    </xf>
    <xf numFmtId="0" fontId="8" fillId="5" borderId="2" xfId="0" applyNumberFormat="1" applyFont="1" applyFill="1" applyBorder="1" applyAlignment="1">
      <alignment horizontal="left" vertical="center" wrapText="1"/>
    </xf>
    <xf numFmtId="0" fontId="8" fillId="5" borderId="3" xfId="0" applyNumberFormat="1" applyFont="1" applyFill="1" applyBorder="1" applyAlignment="1">
      <alignment horizontal="left" vertical="center" wrapText="1"/>
    </xf>
    <xf numFmtId="0" fontId="8" fillId="5" borderId="4" xfId="0" applyNumberFormat="1" applyFont="1" applyFill="1" applyBorder="1" applyAlignment="1">
      <alignment horizontal="left" vertical="center" wrapText="1"/>
    </xf>
    <xf numFmtId="0" fontId="7" fillId="4" borderId="2" xfId="0" applyNumberFormat="1" applyFont="1" applyFill="1" applyBorder="1" applyAlignment="1">
      <alignment horizontal="left" vertical="center" wrapText="1"/>
    </xf>
    <xf numFmtId="0" fontId="7" fillId="4" borderId="3" xfId="0" applyNumberFormat="1" applyFont="1" applyFill="1" applyBorder="1" applyAlignment="1">
      <alignment horizontal="left" vertical="center" wrapText="1"/>
    </xf>
    <xf numFmtId="0" fontId="7" fillId="4" borderId="4"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0" fontId="17" fillId="3" borderId="2" xfId="0" applyNumberFormat="1" applyFont="1" applyFill="1" applyBorder="1" applyAlignment="1">
      <alignment horizontal="center" vertical="center" wrapText="1"/>
    </xf>
    <xf numFmtId="0" fontId="17" fillId="3" borderId="3" xfId="0" applyNumberFormat="1" applyFont="1" applyFill="1" applyBorder="1" applyAlignment="1">
      <alignment horizontal="center" vertical="center" wrapText="1"/>
    </xf>
    <xf numFmtId="1" fontId="17" fillId="3" borderId="2" xfId="0" applyNumberFormat="1" applyFont="1" applyFill="1" applyBorder="1" applyAlignment="1">
      <alignment horizontal="center" vertical="center" wrapText="1"/>
    </xf>
    <xf numFmtId="1" fontId="17" fillId="3" borderId="3" xfId="0" applyNumberFormat="1" applyFont="1" applyFill="1" applyBorder="1" applyAlignment="1">
      <alignment horizontal="center" vertical="center" wrapText="1"/>
    </xf>
    <xf numFmtId="1" fontId="17" fillId="3" borderId="4"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5" fillId="2" borderId="3" xfId="0" applyNumberFormat="1" applyFont="1" applyFill="1" applyBorder="1" applyAlignment="1">
      <alignment horizontal="right" vertical="center" wrapText="1"/>
    </xf>
    <xf numFmtId="0" fontId="5" fillId="2" borderId="4" xfId="0" applyNumberFormat="1" applyFont="1" applyFill="1" applyBorder="1" applyAlignment="1">
      <alignment horizontal="right" vertical="center" wrapText="1"/>
    </xf>
    <xf numFmtId="0" fontId="1" fillId="9" borderId="1" xfId="0" applyNumberFormat="1" applyFont="1" applyFill="1" applyBorder="1" applyAlignment="1">
      <alignment horizontal="left" vertical="center" wrapText="1"/>
    </xf>
    <xf numFmtId="0" fontId="14" fillId="0" borderId="0" xfId="0" applyFont="1" applyBorder="1" applyAlignment="1">
      <alignment vertical="center" wrapText="1"/>
    </xf>
    <xf numFmtId="0" fontId="3" fillId="2" borderId="0" xfId="0" applyFont="1" applyFill="1" applyBorder="1" applyAlignment="1">
      <alignment vertical="center"/>
    </xf>
    <xf numFmtId="0" fontId="9" fillId="6" borderId="2" xfId="0" applyNumberFormat="1" applyFont="1" applyFill="1" applyBorder="1" applyAlignment="1">
      <alignment horizontal="left" vertical="center" wrapText="1"/>
    </xf>
    <xf numFmtId="0" fontId="9" fillId="6" borderId="3" xfId="0" applyNumberFormat="1" applyFont="1" applyFill="1" applyBorder="1" applyAlignment="1">
      <alignment horizontal="left" vertical="center" wrapText="1"/>
    </xf>
    <xf numFmtId="0" fontId="9" fillId="6" borderId="4" xfId="0" applyNumberFormat="1" applyFont="1" applyFill="1" applyBorder="1" applyAlignment="1">
      <alignment horizontal="left" vertical="center" wrapText="1"/>
    </xf>
    <xf numFmtId="164" fontId="6" fillId="3" borderId="2" xfId="0" applyNumberFormat="1" applyFont="1" applyFill="1" applyBorder="1" applyAlignment="1">
      <alignment horizontal="left" vertical="center" wrapText="1"/>
    </xf>
    <xf numFmtId="164" fontId="6" fillId="3" borderId="3" xfId="0" applyNumberFormat="1" applyFont="1" applyFill="1" applyBorder="1" applyAlignment="1">
      <alignment horizontal="left" vertical="center" wrapText="1"/>
    </xf>
    <xf numFmtId="164" fontId="6" fillId="3" borderId="4" xfId="0" applyNumberFormat="1" applyFont="1" applyFill="1" applyBorder="1" applyAlignment="1">
      <alignment horizontal="left" vertical="center" wrapText="1"/>
    </xf>
    <xf numFmtId="0" fontId="20" fillId="0" borderId="2"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cellXfs>
  <cellStyles count="1">
    <cellStyle name="Normal" xfId="0" builtinId="0"/>
  </cellStyles>
  <dxfs count="6">
    <dxf>
      <font>
        <color theme="1" tint="0.24994659260841701"/>
      </font>
      <fill>
        <patternFill>
          <bgColor theme="7" tint="0.39994506668294322"/>
        </patternFill>
      </fill>
    </dxf>
    <dxf>
      <font>
        <color theme="1" tint="0.24994659260841701"/>
      </font>
      <fill>
        <patternFill>
          <bgColor theme="7" tint="0.39994506668294322"/>
        </patternFill>
      </fill>
    </dxf>
    <dxf>
      <font>
        <color theme="7" tint="-0.24994659260841701"/>
      </font>
    </dxf>
    <dxf>
      <font>
        <color theme="1" tint="0.24994659260841701"/>
      </font>
      <fill>
        <patternFill>
          <bgColor theme="7" tint="0.39994506668294322"/>
        </patternFill>
      </fill>
    </dxf>
    <dxf>
      <font>
        <color theme="1" tint="0.34998626667073579"/>
      </font>
      <fill>
        <patternFill>
          <bgColor theme="7" tint="0.39994506668294322"/>
        </patternFill>
      </fill>
    </dxf>
    <dxf>
      <fill>
        <patternFill>
          <bgColor theme="9" tint="0.59996337778862885"/>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121920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450850</xdr:colOff>
          <xdr:row>26</xdr:row>
          <xdr:rowOff>260350</xdr:rowOff>
        </xdr:from>
        <xdr:to>
          <xdr:col>0</xdr:col>
          <xdr:colOff>723900</xdr:colOff>
          <xdr:row>28</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27</xdr:row>
          <xdr:rowOff>260350</xdr:rowOff>
        </xdr:from>
        <xdr:to>
          <xdr:col>0</xdr:col>
          <xdr:colOff>723900</xdr:colOff>
          <xdr:row>29</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28</xdr:row>
          <xdr:rowOff>0</xdr:rowOff>
        </xdr:from>
        <xdr:to>
          <xdr:col>0</xdr:col>
          <xdr:colOff>723900</xdr:colOff>
          <xdr:row>29</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28</xdr:row>
          <xdr:rowOff>260350</xdr:rowOff>
        </xdr:from>
        <xdr:to>
          <xdr:col>0</xdr:col>
          <xdr:colOff>723900</xdr:colOff>
          <xdr:row>30</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29</xdr:row>
          <xdr:rowOff>260350</xdr:rowOff>
        </xdr:from>
        <xdr:to>
          <xdr:col>0</xdr:col>
          <xdr:colOff>723900</xdr:colOff>
          <xdr:row>31</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30</xdr:row>
          <xdr:rowOff>260350</xdr:rowOff>
        </xdr:from>
        <xdr:to>
          <xdr:col>0</xdr:col>
          <xdr:colOff>723900</xdr:colOff>
          <xdr:row>32</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31</xdr:row>
          <xdr:rowOff>260350</xdr:rowOff>
        </xdr:from>
        <xdr:to>
          <xdr:col>0</xdr:col>
          <xdr:colOff>723900</xdr:colOff>
          <xdr:row>33</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32</xdr:row>
          <xdr:rowOff>260350</xdr:rowOff>
        </xdr:from>
        <xdr:to>
          <xdr:col>0</xdr:col>
          <xdr:colOff>723900</xdr:colOff>
          <xdr:row>34</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33</xdr:row>
          <xdr:rowOff>260350</xdr:rowOff>
        </xdr:from>
        <xdr:to>
          <xdr:col>0</xdr:col>
          <xdr:colOff>723900</xdr:colOff>
          <xdr:row>35</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34</xdr:row>
          <xdr:rowOff>260350</xdr:rowOff>
        </xdr:from>
        <xdr:to>
          <xdr:col>0</xdr:col>
          <xdr:colOff>723900</xdr:colOff>
          <xdr:row>36</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workbookViewId="0">
      <selection activeCell="C9" sqref="C9"/>
    </sheetView>
  </sheetViews>
  <sheetFormatPr defaultRowHeight="15" x14ac:dyDescent="0.3"/>
  <cols>
    <col min="3" max="3" width="13.06640625" customWidth="1"/>
  </cols>
  <sheetData>
    <row r="1" spans="1:3" x14ac:dyDescent="0.3">
      <c r="A1" t="s">
        <v>141</v>
      </c>
      <c r="C1" t="s">
        <v>141</v>
      </c>
    </row>
    <row r="2" spans="1:3" x14ac:dyDescent="0.3">
      <c r="A2" t="s">
        <v>142</v>
      </c>
      <c r="C2" t="s">
        <v>142</v>
      </c>
    </row>
    <row r="3" spans="1:3" ht="21" customHeight="1" x14ac:dyDescent="0.3">
      <c r="C3" t="s">
        <v>143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6:C14"/>
  <sheetViews>
    <sheetView tabSelected="1" topLeftCell="A4" zoomScale="150" zoomScaleNormal="150" workbookViewId="0">
      <selection activeCell="A10" sqref="A10"/>
    </sheetView>
  </sheetViews>
  <sheetFormatPr defaultRowHeight="15" x14ac:dyDescent="0.3"/>
  <cols>
    <col min="1" max="1" width="81.3984375" style="58" customWidth="1"/>
    <col min="2" max="2" width="8.796875" style="56"/>
    <col min="3" max="3" width="48.86328125" style="58" customWidth="1"/>
  </cols>
  <sheetData>
    <row r="6" spans="1:1" ht="31" x14ac:dyDescent="0.7">
      <c r="A6" s="59" t="s">
        <v>651</v>
      </c>
    </row>
    <row r="7" spans="1:1" ht="15.5" x14ac:dyDescent="0.35">
      <c r="A7" s="60" t="s">
        <v>649</v>
      </c>
    </row>
    <row r="8" spans="1:1" ht="15.5" x14ac:dyDescent="0.35">
      <c r="A8" s="60" t="s">
        <v>650</v>
      </c>
    </row>
    <row r="9" spans="1:1" ht="15.5" x14ac:dyDescent="0.35">
      <c r="A9" s="60"/>
    </row>
    <row r="11" spans="1:1" ht="15.5" x14ac:dyDescent="0.35">
      <c r="A11" s="61" t="s">
        <v>648</v>
      </c>
    </row>
    <row r="12" spans="1:1" x14ac:dyDescent="0.3">
      <c r="A12" s="57" t="s">
        <v>678</v>
      </c>
    </row>
    <row r="13" spans="1:1" x14ac:dyDescent="0.3">
      <c r="A13" s="62"/>
    </row>
    <row r="14" spans="1:1" ht="60" x14ac:dyDescent="0.3">
      <c r="A14" s="57" t="s">
        <v>677</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W288"/>
  <sheetViews>
    <sheetView zoomScale="70" zoomScaleNormal="70" workbookViewId="0">
      <pane ySplit="1" topLeftCell="A44" activePane="bottomLeft" state="frozen"/>
      <selection pane="bottomLeft" activeCell="A52" sqref="A52:B52"/>
    </sheetView>
  </sheetViews>
  <sheetFormatPr defaultColWidth="6.59765625" defaultRowHeight="15" customHeight="1" x14ac:dyDescent="0.25"/>
  <cols>
    <col min="1" max="1" width="8.19921875" style="2" customWidth="1"/>
    <col min="2" max="2" width="58.46484375" style="1" customWidth="1"/>
    <col min="3" max="5" width="19.06640625" style="10" customWidth="1"/>
    <col min="6" max="6" width="50.59765625" style="11" customWidth="1"/>
    <col min="7" max="7" width="32" style="12" customWidth="1"/>
    <col min="8" max="8" width="15.86328125" style="42" customWidth="1"/>
    <col min="9" max="9" width="18.46484375" style="42" customWidth="1"/>
    <col min="10" max="179" width="6.59765625" style="1" customWidth="1"/>
    <col min="180" max="16384" width="6.59765625" style="2"/>
  </cols>
  <sheetData>
    <row r="1" spans="1:9" ht="36" customHeight="1" x14ac:dyDescent="0.25">
      <c r="A1" s="91" t="s">
        <v>651</v>
      </c>
      <c r="B1" s="91"/>
      <c r="C1" s="91"/>
      <c r="D1" s="91"/>
      <c r="E1" s="91"/>
      <c r="F1" s="91"/>
      <c r="G1" s="13" t="s">
        <v>585</v>
      </c>
      <c r="H1" s="13" t="s">
        <v>652</v>
      </c>
      <c r="I1" s="40"/>
    </row>
    <row r="2" spans="1:9" ht="29.15" customHeight="1" x14ac:dyDescent="0.25">
      <c r="A2" s="89" t="s">
        <v>426</v>
      </c>
      <c r="B2" s="90"/>
      <c r="C2" s="97" t="s">
        <v>0</v>
      </c>
      <c r="D2" s="98"/>
      <c r="E2" s="98"/>
      <c r="F2" s="98"/>
      <c r="G2" s="98"/>
      <c r="H2" s="98"/>
      <c r="I2" s="99"/>
    </row>
    <row r="3" spans="1:9" ht="36" customHeight="1" x14ac:dyDescent="0.25">
      <c r="A3" s="75" t="s">
        <v>1</v>
      </c>
      <c r="B3" s="76"/>
      <c r="C3" s="76"/>
      <c r="D3" s="76"/>
      <c r="E3" s="76"/>
      <c r="F3" s="76"/>
      <c r="G3" s="76"/>
      <c r="H3" s="76"/>
      <c r="I3" s="77"/>
    </row>
    <row r="4" spans="1:9" ht="88.5" customHeight="1" x14ac:dyDescent="0.25">
      <c r="A4" s="72" t="s">
        <v>654</v>
      </c>
      <c r="B4" s="73"/>
      <c r="C4" s="73"/>
      <c r="D4" s="73"/>
      <c r="E4" s="73"/>
      <c r="F4" s="73"/>
      <c r="G4" s="73"/>
      <c r="H4" s="73"/>
      <c r="I4" s="74"/>
    </row>
    <row r="5" spans="1:9" ht="24" customHeight="1" x14ac:dyDescent="0.25">
      <c r="A5" s="94" t="s">
        <v>653</v>
      </c>
      <c r="B5" s="95"/>
      <c r="C5" s="95"/>
      <c r="D5" s="95"/>
      <c r="E5" s="95"/>
      <c r="F5" s="95"/>
      <c r="G5" s="95"/>
      <c r="H5" s="95"/>
      <c r="I5" s="96"/>
    </row>
    <row r="6" spans="1:9" ht="22.4" customHeight="1" x14ac:dyDescent="0.25">
      <c r="A6" s="31" t="s">
        <v>2</v>
      </c>
      <c r="B6" s="47" t="s">
        <v>657</v>
      </c>
      <c r="C6" s="69" t="s">
        <v>657</v>
      </c>
      <c r="D6" s="70"/>
      <c r="E6" s="70"/>
      <c r="F6" s="70"/>
      <c r="G6" s="70"/>
      <c r="H6" s="70"/>
      <c r="I6" s="71"/>
    </row>
    <row r="7" spans="1:9" ht="22.4" customHeight="1" x14ac:dyDescent="0.25">
      <c r="A7" s="31" t="s">
        <v>3</v>
      </c>
      <c r="B7" s="47" t="s">
        <v>658</v>
      </c>
      <c r="C7" s="69" t="s">
        <v>659</v>
      </c>
      <c r="D7" s="70"/>
      <c r="E7" s="70"/>
      <c r="F7" s="70"/>
      <c r="G7" s="70"/>
      <c r="H7" s="70"/>
      <c r="I7" s="71"/>
    </row>
    <row r="8" spans="1:9" ht="22.4" customHeight="1" x14ac:dyDescent="0.25">
      <c r="A8" s="31" t="s">
        <v>4</v>
      </c>
      <c r="B8" s="47" t="s">
        <v>427</v>
      </c>
      <c r="C8" s="66" t="s">
        <v>427</v>
      </c>
      <c r="D8" s="85"/>
      <c r="E8" s="85"/>
      <c r="F8" s="85"/>
      <c r="G8" s="85"/>
      <c r="H8" s="85"/>
      <c r="I8" s="86"/>
    </row>
    <row r="9" spans="1:9" ht="22.4" customHeight="1" x14ac:dyDescent="0.25">
      <c r="A9" s="31" t="s">
        <v>5</v>
      </c>
      <c r="B9" s="47" t="s">
        <v>428</v>
      </c>
      <c r="C9" s="66" t="s">
        <v>428</v>
      </c>
      <c r="D9" s="67"/>
      <c r="E9" s="67"/>
      <c r="F9" s="67"/>
      <c r="G9" s="67"/>
      <c r="H9" s="67"/>
      <c r="I9" s="68"/>
    </row>
    <row r="10" spans="1:9" ht="22.4" customHeight="1" x14ac:dyDescent="0.25">
      <c r="A10" s="31" t="s">
        <v>7</v>
      </c>
      <c r="B10" s="47" t="s">
        <v>429</v>
      </c>
      <c r="C10" s="66" t="s">
        <v>429</v>
      </c>
      <c r="D10" s="67"/>
      <c r="E10" s="67"/>
      <c r="F10" s="67"/>
      <c r="G10" s="67"/>
      <c r="H10" s="67"/>
      <c r="I10" s="68"/>
    </row>
    <row r="11" spans="1:9" ht="22.4" customHeight="1" x14ac:dyDescent="0.25">
      <c r="A11" s="31" t="s">
        <v>8</v>
      </c>
      <c r="B11" s="47" t="s">
        <v>430</v>
      </c>
      <c r="C11" s="66" t="s">
        <v>430</v>
      </c>
      <c r="D11" s="67"/>
      <c r="E11" s="67"/>
      <c r="F11" s="67"/>
      <c r="G11" s="67"/>
      <c r="H11" s="67"/>
      <c r="I11" s="68"/>
    </row>
    <row r="12" spans="1:9" ht="22.4" customHeight="1" x14ac:dyDescent="0.25">
      <c r="A12" s="31" t="s">
        <v>9</v>
      </c>
      <c r="B12" s="47" t="s">
        <v>152</v>
      </c>
      <c r="C12" s="66" t="s">
        <v>153</v>
      </c>
      <c r="D12" s="67"/>
      <c r="E12" s="67"/>
      <c r="F12" s="67"/>
      <c r="G12" s="67"/>
      <c r="H12" s="67"/>
      <c r="I12" s="68"/>
    </row>
    <row r="13" spans="1:9" ht="22.4" customHeight="1" x14ac:dyDescent="0.25">
      <c r="A13" s="31" t="s">
        <v>10</v>
      </c>
      <c r="B13" s="47" t="s">
        <v>154</v>
      </c>
      <c r="C13" s="66" t="s">
        <v>155</v>
      </c>
      <c r="D13" s="67"/>
      <c r="E13" s="67"/>
      <c r="F13" s="67"/>
      <c r="G13" s="67"/>
      <c r="H13" s="67"/>
      <c r="I13" s="68"/>
    </row>
    <row r="14" spans="1:9" ht="22.4" customHeight="1" x14ac:dyDescent="0.25">
      <c r="A14" s="31" t="s">
        <v>12</v>
      </c>
      <c r="B14" s="47" t="s">
        <v>6</v>
      </c>
      <c r="C14" s="66" t="s">
        <v>655</v>
      </c>
      <c r="D14" s="67"/>
      <c r="E14" s="67"/>
      <c r="F14" s="67"/>
      <c r="G14" s="67"/>
      <c r="H14" s="67"/>
      <c r="I14" s="68"/>
    </row>
    <row r="15" spans="1:9" ht="22.4" customHeight="1" x14ac:dyDescent="0.25">
      <c r="A15" s="31" t="s">
        <v>13</v>
      </c>
      <c r="B15" s="47" t="s">
        <v>660</v>
      </c>
      <c r="C15" s="66" t="s">
        <v>168</v>
      </c>
      <c r="D15" s="67"/>
      <c r="E15" s="67"/>
      <c r="F15" s="67"/>
      <c r="G15" s="67"/>
      <c r="H15" s="67"/>
      <c r="I15" s="68"/>
    </row>
    <row r="16" spans="1:9" ht="22.4" customHeight="1" x14ac:dyDescent="0.25">
      <c r="A16" s="31" t="s">
        <v>14</v>
      </c>
      <c r="B16" s="47" t="s">
        <v>661</v>
      </c>
      <c r="C16" s="66" t="s">
        <v>165</v>
      </c>
      <c r="D16" s="67"/>
      <c r="E16" s="67"/>
      <c r="F16" s="67"/>
      <c r="G16" s="67"/>
      <c r="H16" s="67"/>
      <c r="I16" s="68"/>
    </row>
    <row r="17" spans="1:9" ht="31.5" customHeight="1" x14ac:dyDescent="0.25">
      <c r="A17" s="31" t="s">
        <v>15</v>
      </c>
      <c r="B17" s="47" t="s">
        <v>431</v>
      </c>
      <c r="C17" s="66" t="s">
        <v>432</v>
      </c>
      <c r="D17" s="67"/>
      <c r="E17" s="67"/>
      <c r="F17" s="67"/>
      <c r="G17" s="67"/>
      <c r="H17" s="67"/>
      <c r="I17" s="68"/>
    </row>
    <row r="18" spans="1:9" ht="22.4" customHeight="1" x14ac:dyDescent="0.25">
      <c r="A18" s="31" t="s">
        <v>103</v>
      </c>
      <c r="B18" s="47" t="s">
        <v>164</v>
      </c>
      <c r="C18" s="69" t="s">
        <v>168</v>
      </c>
      <c r="D18" s="70"/>
      <c r="E18" s="70"/>
      <c r="F18" s="70"/>
      <c r="G18" s="70"/>
      <c r="H18" s="70"/>
      <c r="I18" s="71"/>
    </row>
    <row r="19" spans="1:9" ht="22.4" customHeight="1" x14ac:dyDescent="0.25">
      <c r="A19" s="31" t="s">
        <v>433</v>
      </c>
      <c r="B19" s="47" t="s">
        <v>662</v>
      </c>
      <c r="C19" s="66" t="s">
        <v>663</v>
      </c>
      <c r="D19" s="67"/>
      <c r="E19" s="67"/>
      <c r="F19" s="67"/>
      <c r="G19" s="67"/>
      <c r="H19" s="67"/>
      <c r="I19" s="68"/>
    </row>
    <row r="20" spans="1:9" ht="22.4" customHeight="1" x14ac:dyDescent="0.25">
      <c r="A20" s="31" t="s">
        <v>434</v>
      </c>
      <c r="B20" s="47" t="s">
        <v>664</v>
      </c>
      <c r="C20" s="66" t="s">
        <v>664</v>
      </c>
      <c r="D20" s="67"/>
      <c r="E20" s="67"/>
      <c r="F20" s="67"/>
      <c r="G20" s="67"/>
      <c r="H20" s="67"/>
      <c r="I20" s="68"/>
    </row>
    <row r="21" spans="1:9" ht="22.4" customHeight="1" x14ac:dyDescent="0.25">
      <c r="A21" s="31" t="s">
        <v>435</v>
      </c>
      <c r="B21" s="47" t="s">
        <v>665</v>
      </c>
      <c r="C21" s="66" t="s">
        <v>666</v>
      </c>
      <c r="D21" s="67"/>
      <c r="E21" s="67"/>
      <c r="F21" s="67"/>
      <c r="G21" s="67"/>
      <c r="H21" s="67"/>
      <c r="I21" s="68"/>
    </row>
    <row r="22" spans="1:9" ht="22.4" customHeight="1" x14ac:dyDescent="0.25">
      <c r="A22" s="31" t="s">
        <v>436</v>
      </c>
      <c r="B22" s="47" t="s">
        <v>667</v>
      </c>
      <c r="C22" s="69" t="s">
        <v>667</v>
      </c>
      <c r="D22" s="70"/>
      <c r="E22" s="70"/>
      <c r="F22" s="70"/>
      <c r="G22" s="70"/>
      <c r="H22" s="70"/>
      <c r="I22" s="71"/>
    </row>
    <row r="23" spans="1:9" ht="22.4" customHeight="1" x14ac:dyDescent="0.25">
      <c r="A23" s="31" t="s">
        <v>437</v>
      </c>
      <c r="B23" s="47" t="s">
        <v>668</v>
      </c>
      <c r="C23" s="69" t="s">
        <v>668</v>
      </c>
      <c r="D23" s="70"/>
      <c r="E23" s="70"/>
      <c r="F23" s="70"/>
      <c r="G23" s="70"/>
      <c r="H23" s="70"/>
      <c r="I23" s="71"/>
    </row>
    <row r="24" spans="1:9" ht="22.4" customHeight="1" x14ac:dyDescent="0.25">
      <c r="A24" s="31" t="s">
        <v>438</v>
      </c>
      <c r="B24" s="47" t="s">
        <v>669</v>
      </c>
      <c r="C24" s="69" t="s">
        <v>670</v>
      </c>
      <c r="D24" s="70"/>
      <c r="E24" s="70"/>
      <c r="F24" s="70"/>
      <c r="G24" s="70"/>
      <c r="H24" s="70"/>
      <c r="I24" s="71"/>
    </row>
    <row r="25" spans="1:9" ht="22.4" customHeight="1" x14ac:dyDescent="0.25">
      <c r="A25" s="31" t="s">
        <v>439</v>
      </c>
      <c r="B25" s="47" t="s">
        <v>671</v>
      </c>
      <c r="C25" s="69" t="s">
        <v>11</v>
      </c>
      <c r="D25" s="70"/>
      <c r="E25" s="70"/>
      <c r="F25" s="70"/>
      <c r="G25" s="70"/>
      <c r="H25" s="70"/>
      <c r="I25" s="71"/>
    </row>
    <row r="26" spans="1:9" s="1" customFormat="1" ht="22.4" customHeight="1" x14ac:dyDescent="0.25">
      <c r="A26" s="94" t="s">
        <v>108</v>
      </c>
      <c r="B26" s="95"/>
      <c r="C26" s="95"/>
      <c r="D26" s="95"/>
      <c r="E26" s="95"/>
      <c r="F26" s="95"/>
      <c r="G26" s="95"/>
      <c r="H26" s="95"/>
      <c r="I26" s="96"/>
    </row>
    <row r="27" spans="1:9" s="1" customFormat="1" ht="22.4" customHeight="1" x14ac:dyDescent="0.25">
      <c r="A27" s="92" t="s">
        <v>118</v>
      </c>
      <c r="B27" s="92"/>
      <c r="C27" s="92"/>
      <c r="D27" s="92"/>
      <c r="E27" s="92"/>
      <c r="F27" s="92"/>
      <c r="G27" s="92"/>
      <c r="H27" s="43"/>
      <c r="I27" s="44"/>
    </row>
    <row r="28" spans="1:9" s="1" customFormat="1" ht="22.4" customHeight="1" x14ac:dyDescent="0.25">
      <c r="A28" s="15"/>
      <c r="B28" s="16" t="s">
        <v>109</v>
      </c>
      <c r="C28" s="16"/>
      <c r="D28" s="16"/>
      <c r="E28" s="16"/>
      <c r="F28" s="16"/>
      <c r="G28" s="38"/>
      <c r="H28" s="38"/>
      <c r="I28" s="39"/>
    </row>
    <row r="29" spans="1:9" s="1" customFormat="1" ht="22.4" customHeight="1" x14ac:dyDescent="0.25">
      <c r="A29" s="15"/>
      <c r="B29" s="16" t="s">
        <v>110</v>
      </c>
      <c r="C29" s="16"/>
      <c r="D29" s="16"/>
      <c r="E29" s="16"/>
      <c r="F29" s="16"/>
      <c r="G29" s="38"/>
      <c r="H29" s="38"/>
      <c r="I29" s="39"/>
    </row>
    <row r="30" spans="1:9" s="1" customFormat="1" ht="22.4" customHeight="1" x14ac:dyDescent="0.25">
      <c r="A30" s="15"/>
      <c r="B30" s="16" t="s">
        <v>111</v>
      </c>
      <c r="C30" s="16"/>
      <c r="D30" s="16"/>
      <c r="E30" s="16"/>
      <c r="F30" s="16"/>
      <c r="G30" s="38"/>
      <c r="H30" s="38"/>
      <c r="I30" s="39"/>
    </row>
    <row r="31" spans="1:9" s="1" customFormat="1" ht="22.4" customHeight="1" x14ac:dyDescent="0.25">
      <c r="A31" s="15"/>
      <c r="B31" s="16" t="s">
        <v>112</v>
      </c>
      <c r="C31" s="16"/>
      <c r="D31" s="16"/>
      <c r="E31" s="16"/>
      <c r="F31" s="16"/>
      <c r="G31" s="38"/>
      <c r="H31" s="38"/>
      <c r="I31" s="39"/>
    </row>
    <row r="32" spans="1:9" s="1" customFormat="1" ht="22.4" customHeight="1" x14ac:dyDescent="0.25">
      <c r="A32" s="15"/>
      <c r="B32" s="16" t="s">
        <v>113</v>
      </c>
      <c r="C32" s="16"/>
      <c r="D32" s="16"/>
      <c r="E32" s="16"/>
      <c r="F32" s="16"/>
      <c r="G32" s="38"/>
      <c r="H32" s="38"/>
      <c r="I32" s="39"/>
    </row>
    <row r="33" spans="1:9" s="1" customFormat="1" ht="22.4" customHeight="1" x14ac:dyDescent="0.25">
      <c r="A33" s="15"/>
      <c r="B33" s="16" t="s">
        <v>553</v>
      </c>
      <c r="C33" s="16"/>
      <c r="D33" s="16"/>
      <c r="E33" s="16"/>
      <c r="F33" s="16"/>
      <c r="G33" s="38"/>
      <c r="H33" s="38"/>
      <c r="I33" s="39"/>
    </row>
    <row r="34" spans="1:9" s="1" customFormat="1" ht="22.4" customHeight="1" x14ac:dyDescent="0.25">
      <c r="A34" s="15"/>
      <c r="B34" s="16" t="s">
        <v>114</v>
      </c>
      <c r="C34" s="16"/>
      <c r="D34" s="16"/>
      <c r="E34" s="16"/>
      <c r="F34" s="16"/>
      <c r="G34" s="38"/>
      <c r="H34" s="38"/>
      <c r="I34" s="39"/>
    </row>
    <row r="35" spans="1:9" s="1" customFormat="1" ht="22.4" customHeight="1" x14ac:dyDescent="0.25">
      <c r="A35" s="15"/>
      <c r="B35" s="16" t="s">
        <v>115</v>
      </c>
      <c r="C35" s="16"/>
      <c r="D35" s="16"/>
      <c r="E35" s="16"/>
      <c r="F35" s="16"/>
      <c r="G35" s="38"/>
      <c r="H35" s="38"/>
      <c r="I35" s="39"/>
    </row>
    <row r="36" spans="1:9" s="1" customFormat="1" ht="22.4" customHeight="1" x14ac:dyDescent="0.25">
      <c r="A36" s="15"/>
      <c r="B36" s="16" t="s">
        <v>116</v>
      </c>
      <c r="C36" s="16"/>
      <c r="D36" s="16"/>
      <c r="E36" s="16"/>
      <c r="F36" s="16"/>
      <c r="G36" s="38"/>
      <c r="H36" s="38"/>
      <c r="I36" s="39"/>
    </row>
    <row r="37" spans="1:9" s="1" customFormat="1" ht="22.4" customHeight="1" x14ac:dyDescent="0.25">
      <c r="A37" s="15"/>
      <c r="B37" s="16" t="s">
        <v>554</v>
      </c>
      <c r="C37" s="16"/>
      <c r="D37" s="16"/>
      <c r="E37" s="16"/>
      <c r="F37" s="16"/>
      <c r="G37" s="38"/>
      <c r="H37" s="38"/>
      <c r="I37" s="39"/>
    </row>
    <row r="38" spans="1:9" s="1" customFormat="1" ht="22.4" customHeight="1" x14ac:dyDescent="0.25">
      <c r="A38" s="15"/>
      <c r="B38" s="93" t="s">
        <v>117</v>
      </c>
      <c r="C38" s="93"/>
      <c r="D38" s="93"/>
      <c r="E38" s="93"/>
      <c r="F38" s="93"/>
      <c r="G38" s="93"/>
      <c r="H38" s="38"/>
      <c r="I38" s="39"/>
    </row>
    <row r="39" spans="1:9" s="1" customFormat="1" ht="22.4" customHeight="1" x14ac:dyDescent="0.25">
      <c r="A39" s="15"/>
      <c r="B39" s="16"/>
      <c r="C39" s="16"/>
      <c r="D39" s="16"/>
      <c r="E39" s="16"/>
      <c r="F39" s="16"/>
      <c r="G39" s="38"/>
      <c r="H39" s="38"/>
      <c r="I39" s="39"/>
    </row>
    <row r="40" spans="1:9" s="1" customFormat="1" ht="75" customHeight="1" x14ac:dyDescent="0.25">
      <c r="A40" s="15"/>
      <c r="B40" s="17" t="s">
        <v>555</v>
      </c>
      <c r="C40" s="78"/>
      <c r="D40" s="78"/>
      <c r="E40" s="78"/>
      <c r="F40" s="78"/>
      <c r="G40" s="78"/>
      <c r="H40" s="78"/>
      <c r="I40" s="78"/>
    </row>
    <row r="41" spans="1:9" s="1" customFormat="1" ht="42" customHeight="1" x14ac:dyDescent="0.25">
      <c r="A41" s="15"/>
      <c r="B41" s="17" t="s">
        <v>140</v>
      </c>
      <c r="C41" s="78"/>
      <c r="D41" s="78"/>
      <c r="E41" s="78"/>
      <c r="F41" s="78"/>
      <c r="G41" s="78"/>
      <c r="H41" s="78"/>
      <c r="I41" s="78"/>
    </row>
    <row r="42" spans="1:9" s="1" customFormat="1" ht="36" customHeight="1" x14ac:dyDescent="0.25">
      <c r="A42" s="75" t="s">
        <v>16</v>
      </c>
      <c r="B42" s="76"/>
      <c r="C42" s="76"/>
      <c r="D42" s="76"/>
      <c r="E42" s="76"/>
      <c r="F42" s="76"/>
      <c r="G42" s="76"/>
      <c r="H42" s="76"/>
      <c r="I42" s="77"/>
    </row>
    <row r="43" spans="1:9" s="1" customFormat="1" ht="255" customHeight="1" x14ac:dyDescent="0.25">
      <c r="A43" s="72" t="s">
        <v>672</v>
      </c>
      <c r="B43" s="73"/>
      <c r="C43" s="73"/>
      <c r="D43" s="73"/>
      <c r="E43" s="73"/>
      <c r="F43" s="73"/>
      <c r="G43" s="73"/>
      <c r="H43" s="73"/>
      <c r="I43" s="74"/>
    </row>
    <row r="44" spans="1:9" s="1" customFormat="1" ht="52.5" x14ac:dyDescent="0.25">
      <c r="A44" s="63" t="s">
        <v>17</v>
      </c>
      <c r="B44" s="63"/>
      <c r="C44" s="3" t="s">
        <v>673</v>
      </c>
      <c r="D44" s="3" t="s">
        <v>674</v>
      </c>
      <c r="E44" s="3" t="s">
        <v>675</v>
      </c>
      <c r="F44" s="3" t="s">
        <v>18</v>
      </c>
      <c r="G44" s="4" t="s">
        <v>19</v>
      </c>
      <c r="H44" s="4" t="s">
        <v>406</v>
      </c>
      <c r="I44" s="4" t="s">
        <v>409</v>
      </c>
    </row>
    <row r="45" spans="1:9" s="1" customFormat="1" ht="48" customHeight="1" x14ac:dyDescent="0.25">
      <c r="A45" s="72" t="s">
        <v>104</v>
      </c>
      <c r="B45" s="73"/>
      <c r="C45" s="73"/>
      <c r="D45" s="73"/>
      <c r="E45" s="73"/>
      <c r="F45" s="73"/>
      <c r="G45" s="73"/>
      <c r="H45" s="73"/>
      <c r="I45" s="74"/>
    </row>
    <row r="46" spans="1:9" s="1" customFormat="1" ht="40.5" x14ac:dyDescent="0.25">
      <c r="A46" s="14" t="s">
        <v>20</v>
      </c>
      <c r="B46" s="5" t="s">
        <v>288</v>
      </c>
      <c r="C46" s="21"/>
      <c r="D46" s="45"/>
      <c r="E46" s="45"/>
      <c r="F46" s="21"/>
      <c r="G46" s="6" t="str">
        <f>IF(C46="","",IF(C46="Yes","","Questions highlighted in yellow are optional."))</f>
        <v/>
      </c>
      <c r="H46" s="41"/>
      <c r="I46" s="41"/>
    </row>
    <row r="47" spans="1:9" s="1" customFormat="1" ht="48" customHeight="1" x14ac:dyDescent="0.25">
      <c r="A47" s="14" t="s">
        <v>21</v>
      </c>
      <c r="B47" s="5" t="s">
        <v>287</v>
      </c>
      <c r="C47" s="45"/>
      <c r="D47" s="45"/>
      <c r="E47" s="45"/>
      <c r="F47" s="21"/>
      <c r="G47" s="6" t="str">
        <f>IF(C47="","",IF(C47="Yes","You are required to complete the questions in the Mobile Devices and Applications section.","Responses to the questions in the Mobile Devices and Applications section are optional."))</f>
        <v/>
      </c>
      <c r="H47" s="41"/>
      <c r="I47" s="41"/>
    </row>
    <row r="48" spans="1:9" s="1" customFormat="1" ht="99.65" customHeight="1" x14ac:dyDescent="0.25">
      <c r="A48" s="14" t="s">
        <v>22</v>
      </c>
      <c r="B48" s="5" t="s">
        <v>556</v>
      </c>
      <c r="C48" s="45"/>
      <c r="D48" s="45"/>
      <c r="E48" s="45"/>
      <c r="F48" s="21"/>
      <c r="G48" s="6" t="str">
        <f>IF(C48="","",IF(C48="Yes","You are required to complete the questions in the Supply Chain and External Dependencies Management section.","Responses to the questions in the Supply Chain and External Dependencies Management section are optional."))</f>
        <v/>
      </c>
      <c r="H48" s="41"/>
      <c r="I48" s="41"/>
    </row>
    <row r="49" spans="1:9" s="1" customFormat="1" ht="48" customHeight="1" x14ac:dyDescent="0.25">
      <c r="A49" s="14" t="s">
        <v>23</v>
      </c>
      <c r="B49" s="23" t="s">
        <v>122</v>
      </c>
      <c r="C49" s="45"/>
      <c r="D49" s="45"/>
      <c r="E49" s="45"/>
      <c r="F49" s="21"/>
      <c r="G49" s="6"/>
      <c r="H49" s="41"/>
      <c r="I49" s="41"/>
    </row>
    <row r="50" spans="1:9" s="1" customFormat="1" ht="48" customHeight="1" x14ac:dyDescent="0.25">
      <c r="A50" s="14" t="s">
        <v>24</v>
      </c>
      <c r="B50" s="5" t="s">
        <v>293</v>
      </c>
      <c r="C50" s="45"/>
      <c r="D50" s="45"/>
      <c r="E50" s="45"/>
      <c r="F50" s="21"/>
      <c r="G50" s="6"/>
      <c r="H50" s="41"/>
      <c r="I50" s="41"/>
    </row>
    <row r="51" spans="1:9" s="1" customFormat="1" ht="52.5" customHeight="1" x14ac:dyDescent="0.25">
      <c r="A51" s="14" t="s">
        <v>125</v>
      </c>
      <c r="B51" s="7" t="s">
        <v>676</v>
      </c>
      <c r="C51" s="45"/>
      <c r="D51" s="45"/>
      <c r="E51" s="45"/>
      <c r="F51" s="22"/>
      <c r="G51" s="6"/>
      <c r="H51" s="41"/>
      <c r="I51" s="41"/>
    </row>
    <row r="52" spans="1:9" s="1" customFormat="1" ht="52.5" x14ac:dyDescent="0.25">
      <c r="A52" s="63" t="s">
        <v>25</v>
      </c>
      <c r="B52" s="63"/>
      <c r="C52" s="3" t="s">
        <v>673</v>
      </c>
      <c r="D52" s="3" t="s">
        <v>674</v>
      </c>
      <c r="E52" s="3" t="s">
        <v>121</v>
      </c>
      <c r="F52" s="3" t="s">
        <v>18</v>
      </c>
      <c r="G52" s="4" t="s">
        <v>19</v>
      </c>
      <c r="H52" s="3" t="s">
        <v>406</v>
      </c>
      <c r="I52" s="3" t="s">
        <v>440</v>
      </c>
    </row>
    <row r="53" spans="1:9" s="1" customFormat="1" ht="83.15" customHeight="1" x14ac:dyDescent="0.25">
      <c r="A53" s="14" t="s">
        <v>197</v>
      </c>
      <c r="B53" s="24" t="s">
        <v>336</v>
      </c>
      <c r="C53" s="100"/>
      <c r="D53" s="101"/>
      <c r="E53" s="101"/>
      <c r="F53" s="25"/>
      <c r="G53" s="6" t="s">
        <v>441</v>
      </c>
      <c r="H53" s="48">
        <v>22</v>
      </c>
      <c r="I53" s="49" t="s">
        <v>442</v>
      </c>
    </row>
    <row r="54" spans="1:9" s="1" customFormat="1" ht="54" customHeight="1" x14ac:dyDescent="0.25">
      <c r="A54" s="14" t="s">
        <v>28</v>
      </c>
      <c r="B54" s="50" t="s">
        <v>26</v>
      </c>
      <c r="C54" s="65"/>
      <c r="D54" s="65"/>
      <c r="E54" s="65"/>
      <c r="F54" s="65"/>
      <c r="G54" s="6" t="s">
        <v>27</v>
      </c>
      <c r="H54" s="48"/>
      <c r="I54" s="49"/>
    </row>
    <row r="55" spans="1:9" s="1" customFormat="1" ht="54" customHeight="1" x14ac:dyDescent="0.25">
      <c r="A55" s="14" t="s">
        <v>31</v>
      </c>
      <c r="B55" s="50" t="s">
        <v>443</v>
      </c>
      <c r="C55" s="65"/>
      <c r="D55" s="65"/>
      <c r="E55" s="65"/>
      <c r="F55" s="65"/>
      <c r="G55" s="6" t="s">
        <v>27</v>
      </c>
      <c r="H55" s="48"/>
      <c r="I55" s="49"/>
    </row>
    <row r="56" spans="1:9" s="1" customFormat="1" ht="54" customHeight="1" x14ac:dyDescent="0.25">
      <c r="A56" s="14" t="s">
        <v>32</v>
      </c>
      <c r="B56" s="50" t="s">
        <v>29</v>
      </c>
      <c r="C56" s="65"/>
      <c r="D56" s="65"/>
      <c r="E56" s="65"/>
      <c r="F56" s="65"/>
      <c r="G56" s="6" t="s">
        <v>30</v>
      </c>
      <c r="H56" s="48"/>
      <c r="I56" s="49"/>
    </row>
    <row r="57" spans="1:9" s="1" customFormat="1" ht="54" customHeight="1" x14ac:dyDescent="0.25">
      <c r="A57" s="14" t="s">
        <v>33</v>
      </c>
      <c r="B57" s="50" t="s">
        <v>568</v>
      </c>
      <c r="C57" s="45"/>
      <c r="D57" s="45"/>
      <c r="E57" s="45"/>
      <c r="F57" s="45"/>
      <c r="G57" s="6"/>
      <c r="H57" s="48"/>
      <c r="I57" s="49"/>
    </row>
    <row r="58" spans="1:9" s="1" customFormat="1" ht="54" x14ac:dyDescent="0.25">
      <c r="A58" s="14" t="s">
        <v>34</v>
      </c>
      <c r="B58" s="50" t="s">
        <v>569</v>
      </c>
      <c r="C58" s="45"/>
      <c r="D58" s="45"/>
      <c r="E58" s="45"/>
      <c r="F58" s="45"/>
      <c r="G58" s="6"/>
      <c r="H58" s="48"/>
      <c r="I58" s="49"/>
    </row>
    <row r="59" spans="1:9" s="1" customFormat="1" ht="54" customHeight="1" x14ac:dyDescent="0.25">
      <c r="A59" s="14" t="s">
        <v>35</v>
      </c>
      <c r="B59" s="50" t="s">
        <v>570</v>
      </c>
      <c r="C59" s="45"/>
      <c r="D59" s="45"/>
      <c r="E59" s="45"/>
      <c r="F59" s="45"/>
      <c r="G59" s="6"/>
      <c r="H59" s="48"/>
      <c r="I59" s="49"/>
    </row>
    <row r="60" spans="1:9" s="1" customFormat="1" ht="54" customHeight="1" x14ac:dyDescent="0.25">
      <c r="A60" s="14" t="s">
        <v>335</v>
      </c>
      <c r="B60" s="50" t="s">
        <v>105</v>
      </c>
      <c r="C60" s="45"/>
      <c r="D60" s="45"/>
      <c r="E60" s="45"/>
      <c r="F60" s="45"/>
      <c r="G60" s="26" t="str">
        <f>IF(C60="","",IF(C60="Yes","Provide a list of utility references, with contact information.","State your primary industry. Please provide appropriate refrences."))</f>
        <v/>
      </c>
      <c r="H60" s="48"/>
      <c r="I60" s="49"/>
    </row>
    <row r="61" spans="1:9" s="1" customFormat="1" ht="64.400000000000006" customHeight="1" x14ac:dyDescent="0.25">
      <c r="A61" s="14" t="s">
        <v>444</v>
      </c>
      <c r="B61" s="50" t="s">
        <v>571</v>
      </c>
      <c r="C61" s="45"/>
      <c r="D61" s="45"/>
      <c r="E61" s="45"/>
      <c r="F61" s="18"/>
      <c r="G61" s="6" t="str">
        <f>IF(C61="","",IF(C61="Yes","Provide a detailed summary of the breach and actions taken to mitigate identified vulnerabilities.",""))</f>
        <v/>
      </c>
      <c r="H61" s="51">
        <v>34</v>
      </c>
      <c r="I61" s="51" t="s">
        <v>445</v>
      </c>
    </row>
    <row r="62" spans="1:9" s="1" customFormat="1" ht="64.400000000000006" customHeight="1" x14ac:dyDescent="0.25">
      <c r="A62" s="14" t="s">
        <v>446</v>
      </c>
      <c r="B62" s="50" t="s">
        <v>447</v>
      </c>
      <c r="C62" s="45"/>
      <c r="D62" s="45"/>
      <c r="E62" s="45"/>
      <c r="F62" s="18"/>
      <c r="G62" s="6"/>
      <c r="H62" s="48"/>
      <c r="I62" s="49"/>
    </row>
    <row r="63" spans="1:9" s="1" customFormat="1" ht="78.75" customHeight="1" x14ac:dyDescent="0.25">
      <c r="A63" s="14" t="s">
        <v>448</v>
      </c>
      <c r="B63" s="50" t="s">
        <v>572</v>
      </c>
      <c r="C63" s="45"/>
      <c r="D63" s="45"/>
      <c r="E63" s="45"/>
      <c r="F63" s="18"/>
      <c r="G63" s="6"/>
      <c r="H63" s="48"/>
      <c r="I63" s="49"/>
    </row>
    <row r="64" spans="1:9" s="1" customFormat="1" ht="64.400000000000006" customHeight="1" x14ac:dyDescent="0.25">
      <c r="A64" s="14" t="s">
        <v>449</v>
      </c>
      <c r="B64" s="50" t="s">
        <v>450</v>
      </c>
      <c r="C64" s="45"/>
      <c r="D64" s="45"/>
      <c r="E64" s="45"/>
      <c r="F64" s="18"/>
      <c r="G64" s="6"/>
      <c r="H64" s="48"/>
      <c r="I64" s="49"/>
    </row>
    <row r="65" spans="1:178" s="1" customFormat="1" ht="54" customHeight="1" x14ac:dyDescent="0.25">
      <c r="A65" s="14" t="s">
        <v>451</v>
      </c>
      <c r="B65" s="50" t="s">
        <v>573</v>
      </c>
      <c r="C65" s="45"/>
      <c r="D65" s="45"/>
      <c r="E65" s="45"/>
      <c r="F65" s="45"/>
      <c r="G65" s="6" t="str">
        <f>IF(C65="","",IF(C65="Yes","Decribe your Information Security Office, including size, talents, resources, etc.","Describe any plans to create an Information Security Office for your organization."))</f>
        <v/>
      </c>
      <c r="H65" s="48"/>
      <c r="I65" s="49"/>
    </row>
    <row r="66" spans="1:178" s="1" customFormat="1" ht="68.150000000000006" customHeight="1" x14ac:dyDescent="0.25">
      <c r="A66" s="14" t="s">
        <v>452</v>
      </c>
      <c r="B66" s="50" t="s">
        <v>574</v>
      </c>
      <c r="C66" s="45"/>
      <c r="D66" s="45"/>
      <c r="E66" s="45"/>
      <c r="F66" s="18"/>
      <c r="G66" s="6" t="str">
        <f>IF(C66="","",IF(C66="Yes","Describe the structure and size of your Software and System Development teams (e.g. Customer Support, Implementation, Product Management, etc.)","Describe your current teams/organizational structure, as well as any plans to create dedicated teams."))</f>
        <v/>
      </c>
      <c r="H66" s="48"/>
      <c r="I66" s="49"/>
    </row>
    <row r="67" spans="1:178" s="1" customFormat="1" ht="83.15" customHeight="1" x14ac:dyDescent="0.25">
      <c r="A67" s="14" t="s">
        <v>453</v>
      </c>
      <c r="B67" s="50" t="s">
        <v>296</v>
      </c>
      <c r="C67" s="65"/>
      <c r="D67" s="65"/>
      <c r="E67" s="65"/>
      <c r="F67" s="65"/>
      <c r="G67" s="6" t="s">
        <v>290</v>
      </c>
      <c r="H67" s="48"/>
      <c r="I67" s="49"/>
    </row>
    <row r="68" spans="1:178" s="1" customFormat="1" ht="60.75" customHeight="1" x14ac:dyDescent="0.25">
      <c r="A68" s="63" t="s">
        <v>179</v>
      </c>
      <c r="B68" s="63"/>
      <c r="C68" s="3" t="s">
        <v>673</v>
      </c>
      <c r="D68" s="3" t="s">
        <v>674</v>
      </c>
      <c r="E68" s="3" t="s">
        <v>121</v>
      </c>
      <c r="F68" s="3" t="s">
        <v>18</v>
      </c>
      <c r="G68" s="4" t="s">
        <v>19</v>
      </c>
      <c r="H68" s="3" t="s">
        <v>406</v>
      </c>
      <c r="I68" s="3" t="s">
        <v>440</v>
      </c>
    </row>
    <row r="69" spans="1:178" s="1" customFormat="1" ht="96" customHeight="1" x14ac:dyDescent="0.25">
      <c r="A69" s="14" t="s">
        <v>36</v>
      </c>
      <c r="B69" s="24" t="s">
        <v>576</v>
      </c>
      <c r="C69" s="64"/>
      <c r="D69" s="64"/>
      <c r="E69" s="64"/>
      <c r="F69" s="64"/>
      <c r="G69" s="6" t="s">
        <v>37</v>
      </c>
      <c r="H69" s="48"/>
      <c r="I69" s="49" t="s">
        <v>454</v>
      </c>
    </row>
    <row r="70" spans="1:178" customFormat="1" ht="80.150000000000006" customHeight="1" x14ac:dyDescent="0.25">
      <c r="A70" s="14" t="s">
        <v>38</v>
      </c>
      <c r="B70" s="24" t="s">
        <v>575</v>
      </c>
      <c r="C70" s="64"/>
      <c r="D70" s="64"/>
      <c r="E70" s="64"/>
      <c r="F70" s="64"/>
      <c r="G70" s="6" t="s">
        <v>656</v>
      </c>
      <c r="H70" s="48"/>
      <c r="I70" s="49"/>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row>
    <row r="71" spans="1:178" customFormat="1" ht="80.150000000000006" customHeight="1" x14ac:dyDescent="0.25">
      <c r="A71" s="14" t="s">
        <v>196</v>
      </c>
      <c r="B71" s="24" t="s">
        <v>577</v>
      </c>
      <c r="C71" s="64"/>
      <c r="D71" s="64"/>
      <c r="E71" s="64"/>
      <c r="F71" s="64"/>
      <c r="G71" s="8"/>
      <c r="H71" s="48"/>
      <c r="I71" s="49" t="s">
        <v>455</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row>
    <row r="72" spans="1:178" customFormat="1" ht="80.150000000000006" customHeight="1" x14ac:dyDescent="0.25">
      <c r="A72" s="14" t="s">
        <v>40</v>
      </c>
      <c r="B72" s="24" t="s">
        <v>557</v>
      </c>
      <c r="C72" s="45"/>
      <c r="D72" s="45"/>
      <c r="E72" s="45"/>
      <c r="F72" s="28"/>
      <c r="G72" s="8" t="str">
        <f>IF(C72="","",IF(C72="Yes","Please desribe this program and how it is maintained.","Please desribe how you ensure integrity in absence of a program that ensures storage security."))</f>
        <v/>
      </c>
      <c r="H72" s="48">
        <v>2</v>
      </c>
      <c r="I72" s="49" t="s">
        <v>456</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row>
    <row r="73" spans="1:178" customFormat="1" ht="80.150000000000006" customHeight="1" x14ac:dyDescent="0.25">
      <c r="A73" s="14" t="s">
        <v>299</v>
      </c>
      <c r="B73" s="24" t="s">
        <v>392</v>
      </c>
      <c r="C73" s="45"/>
      <c r="D73" s="45"/>
      <c r="E73" s="45"/>
      <c r="F73" s="28"/>
      <c r="G73" s="8" t="str">
        <f>IF(C73="","",IF(C73="Yes","Please desribe this process.","Please desribe how the integrity of software is verified prior to use."))</f>
        <v/>
      </c>
      <c r="H73" s="48"/>
      <c r="I73" s="49" t="s">
        <v>457</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row>
    <row r="74" spans="1:178" customFormat="1" ht="80.150000000000006" customHeight="1" x14ac:dyDescent="0.25">
      <c r="A74" s="14" t="s">
        <v>307</v>
      </c>
      <c r="B74" s="24" t="s">
        <v>393</v>
      </c>
      <c r="C74" s="45"/>
      <c r="D74" s="45"/>
      <c r="E74" s="45"/>
      <c r="F74" s="28"/>
      <c r="G74" s="8" t="str">
        <f>IF(C74="","",IF(C74="Yes","Please desribe this process.",""))</f>
        <v/>
      </c>
      <c r="H74" s="48"/>
      <c r="I74" s="49" t="s">
        <v>458</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row>
    <row r="75" spans="1:178" customFormat="1" ht="80.150000000000006" customHeight="1" x14ac:dyDescent="0.25">
      <c r="A75" s="14" t="s">
        <v>308</v>
      </c>
      <c r="B75" s="24" t="s">
        <v>558</v>
      </c>
      <c r="C75" s="45"/>
      <c r="D75" s="45"/>
      <c r="E75" s="45"/>
      <c r="F75" s="28"/>
      <c r="G75" s="8" t="str">
        <f>IF(C75="","",IF(C75="Yes","Please desribe this process.",""))</f>
        <v/>
      </c>
      <c r="H75" s="48">
        <v>59</v>
      </c>
      <c r="I75" s="49" t="s">
        <v>459</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row>
    <row r="76" spans="1:178" customFormat="1" ht="80.150000000000006" customHeight="1" x14ac:dyDescent="0.25">
      <c r="A76" s="14" t="s">
        <v>309</v>
      </c>
      <c r="B76" s="24" t="s">
        <v>580</v>
      </c>
      <c r="C76" s="45"/>
      <c r="D76" s="45"/>
      <c r="E76" s="45"/>
      <c r="F76" s="28"/>
      <c r="G76" s="8" t="str">
        <f>IF(C76="","",IF(C76="Yes","Please desribe or provide a reference to/copy of this policy.",""))</f>
        <v/>
      </c>
      <c r="H76" s="48">
        <v>48</v>
      </c>
      <c r="I76" s="49" t="s">
        <v>460</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row>
    <row r="77" spans="1:178" customFormat="1" ht="80.150000000000006" customHeight="1" x14ac:dyDescent="0.25">
      <c r="A77" s="14" t="s">
        <v>310</v>
      </c>
      <c r="B77" s="24" t="s">
        <v>411</v>
      </c>
      <c r="C77" s="45"/>
      <c r="D77" s="45"/>
      <c r="E77" s="45"/>
      <c r="F77" s="28"/>
      <c r="G77" s="8"/>
      <c r="H77" s="48">
        <v>23</v>
      </c>
      <c r="I77" s="49" t="s">
        <v>461</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row>
    <row r="78" spans="1:178" customFormat="1" ht="80.150000000000006" customHeight="1" x14ac:dyDescent="0.25">
      <c r="A78" s="14" t="s">
        <v>311</v>
      </c>
      <c r="B78" s="24" t="s">
        <v>318</v>
      </c>
      <c r="C78" s="45"/>
      <c r="D78" s="45"/>
      <c r="E78" s="45"/>
      <c r="F78" s="28"/>
      <c r="G78" s="8" t="str">
        <f>IF(C78="","",IF(C78="Yes","Can this information be shared with the utility?",""))</f>
        <v/>
      </c>
      <c r="H78" s="48"/>
      <c r="I78" s="49" t="s">
        <v>462</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row>
    <row r="79" spans="1:178" customFormat="1" ht="80.150000000000006" customHeight="1" x14ac:dyDescent="0.25">
      <c r="A79" s="14" t="s">
        <v>316</v>
      </c>
      <c r="B79" s="24" t="s">
        <v>348</v>
      </c>
      <c r="C79" s="79"/>
      <c r="D79" s="80"/>
      <c r="E79" s="80"/>
      <c r="F79" s="28"/>
      <c r="G79" s="8" t="str">
        <f>IF(C79="","",IF(C79="Yes","Please descibe this aspect of your program in adequate detail.",""))</f>
        <v/>
      </c>
      <c r="H79" s="48">
        <v>39</v>
      </c>
      <c r="I79" s="49" t="s">
        <v>463</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row>
    <row r="80" spans="1:178" customFormat="1" ht="80.150000000000006" customHeight="1" x14ac:dyDescent="0.25">
      <c r="A80" s="14" t="s">
        <v>317</v>
      </c>
      <c r="B80" s="24" t="s">
        <v>581</v>
      </c>
      <c r="C80" s="45"/>
      <c r="D80" s="45"/>
      <c r="E80" s="45"/>
      <c r="F80" s="28"/>
      <c r="G80" s="8" t="str">
        <f>IF(C80="","",IF(C80="Yes","Please descibe this process, including timeframe for and method by which notification is provided.",""))</f>
        <v/>
      </c>
      <c r="H80" s="48"/>
      <c r="I80" s="49" t="s">
        <v>464</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row>
    <row r="81" spans="1:178" customFormat="1" ht="80.150000000000006" customHeight="1" x14ac:dyDescent="0.25">
      <c r="A81" s="14" t="s">
        <v>347</v>
      </c>
      <c r="B81" s="24" t="s">
        <v>375</v>
      </c>
      <c r="C81" s="45"/>
      <c r="D81" s="45"/>
      <c r="E81" s="45"/>
      <c r="F81" s="28"/>
      <c r="G81" s="8"/>
      <c r="H81" s="48"/>
      <c r="I81" s="49"/>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row>
    <row r="82" spans="1:178" s="1" customFormat="1" ht="80.150000000000006" customHeight="1" x14ac:dyDescent="0.25">
      <c r="A82" s="14" t="s">
        <v>354</v>
      </c>
      <c r="B82" s="27" t="s">
        <v>582</v>
      </c>
      <c r="C82" s="64"/>
      <c r="D82" s="64"/>
      <c r="E82" s="64"/>
      <c r="F82" s="64"/>
      <c r="G82" s="6" t="s">
        <v>39</v>
      </c>
      <c r="H82" s="48"/>
      <c r="I82" s="49"/>
    </row>
    <row r="83" spans="1:178" s="1" customFormat="1" ht="80.150000000000006" customHeight="1" x14ac:dyDescent="0.25">
      <c r="A83" s="14" t="s">
        <v>374</v>
      </c>
      <c r="B83" s="5" t="s">
        <v>551</v>
      </c>
      <c r="C83" s="64"/>
      <c r="D83" s="64"/>
      <c r="E83" s="64"/>
      <c r="F83" s="64"/>
      <c r="G83" s="6" t="s">
        <v>194</v>
      </c>
      <c r="H83" s="48"/>
      <c r="I83" s="49"/>
    </row>
    <row r="84" spans="1:178" customFormat="1" ht="73.5" customHeight="1" x14ac:dyDescent="0.25">
      <c r="A84" s="63" t="s">
        <v>195</v>
      </c>
      <c r="B84" s="63"/>
      <c r="C84" s="3" t="s">
        <v>673</v>
      </c>
      <c r="D84" s="3" t="s">
        <v>674</v>
      </c>
      <c r="E84" s="3" t="s">
        <v>121</v>
      </c>
      <c r="F84" s="3" t="s">
        <v>18</v>
      </c>
      <c r="G84" s="4" t="s">
        <v>19</v>
      </c>
      <c r="H84" s="3" t="s">
        <v>406</v>
      </c>
      <c r="I84" s="3" t="s">
        <v>440</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row>
    <row r="85" spans="1:178" customFormat="1" ht="73.5" customHeight="1" x14ac:dyDescent="0.25">
      <c r="A85" s="14" t="s">
        <v>323</v>
      </c>
      <c r="B85" s="29" t="s">
        <v>583</v>
      </c>
      <c r="C85" s="79"/>
      <c r="D85" s="80"/>
      <c r="E85" s="80"/>
      <c r="F85" s="20"/>
      <c r="G85" s="8" t="str">
        <f>IF(C85="","",IF(C85="Yes","Summarize  background check practices including level (e.g. seven-year background checks) and list of any exempted employees or contactors due to restrictions by country of employment.","State plans to implement background checks into your hiring process."))</f>
        <v/>
      </c>
      <c r="H85" s="48" t="s">
        <v>550</v>
      </c>
      <c r="I85" s="49" t="s">
        <v>549</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row>
    <row r="86" spans="1:178" customFormat="1" ht="73.5" customHeight="1" x14ac:dyDescent="0.25">
      <c r="A86" s="14" t="s">
        <v>324</v>
      </c>
      <c r="B86" s="29" t="s">
        <v>584</v>
      </c>
      <c r="C86" s="79"/>
      <c r="D86" s="80"/>
      <c r="E86" s="80"/>
      <c r="F86" s="20"/>
      <c r="G86" s="8"/>
      <c r="H86" s="48">
        <v>3</v>
      </c>
      <c r="I86" s="49" t="s">
        <v>466</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row>
    <row r="87" spans="1:178" customFormat="1" ht="78" customHeight="1" x14ac:dyDescent="0.25">
      <c r="A87" s="14" t="s">
        <v>325</v>
      </c>
      <c r="B87" s="29" t="s">
        <v>467</v>
      </c>
      <c r="C87" s="81"/>
      <c r="D87" s="82"/>
      <c r="E87" s="82"/>
      <c r="F87" s="83"/>
      <c r="G87" s="8"/>
      <c r="H87" s="49" t="s">
        <v>468</v>
      </c>
      <c r="I87" s="49" t="s">
        <v>469</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row>
    <row r="88" spans="1:178" customFormat="1" ht="88.5" customHeight="1" x14ac:dyDescent="0.25">
      <c r="A88" s="14" t="s">
        <v>326</v>
      </c>
      <c r="B88" s="29" t="s">
        <v>404</v>
      </c>
      <c r="C88" s="45"/>
      <c r="D88" s="45"/>
      <c r="E88" s="45"/>
      <c r="F88" s="30"/>
      <c r="G88" s="8"/>
      <c r="H88" s="48">
        <v>11</v>
      </c>
      <c r="I88" s="49" t="s">
        <v>470</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row>
    <row r="89" spans="1:178" customFormat="1" ht="88.5" customHeight="1" x14ac:dyDescent="0.25">
      <c r="A89" s="14" t="s">
        <v>327</v>
      </c>
      <c r="B89" s="29" t="s">
        <v>471</v>
      </c>
      <c r="C89" s="45"/>
      <c r="D89" s="45"/>
      <c r="E89" s="45"/>
      <c r="F89" s="30"/>
      <c r="G89" s="8"/>
      <c r="H89" s="48">
        <v>12</v>
      </c>
      <c r="I89" s="49" t="s">
        <v>472</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row>
    <row r="90" spans="1:178" customFormat="1" ht="88.5" customHeight="1" x14ac:dyDescent="0.25">
      <c r="A90" s="14" t="s">
        <v>322</v>
      </c>
      <c r="B90" s="29" t="s">
        <v>403</v>
      </c>
      <c r="C90" s="45"/>
      <c r="D90" s="45"/>
      <c r="E90" s="45"/>
      <c r="F90" s="30"/>
      <c r="G90" s="8"/>
      <c r="H90" s="48">
        <v>10</v>
      </c>
      <c r="I90" s="49" t="s">
        <v>473</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row>
    <row r="91" spans="1:178" customFormat="1" ht="88.5" customHeight="1" x14ac:dyDescent="0.25">
      <c r="A91" s="14" t="s">
        <v>321</v>
      </c>
      <c r="B91" s="29" t="s">
        <v>474</v>
      </c>
      <c r="C91" s="45"/>
      <c r="D91" s="45"/>
      <c r="E91" s="45"/>
      <c r="F91" s="30"/>
      <c r="G91" s="8"/>
      <c r="H91" s="48">
        <v>47</v>
      </c>
      <c r="I91" s="49" t="s">
        <v>475</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row>
    <row r="92" spans="1:178" customFormat="1" ht="73.5" customHeight="1" x14ac:dyDescent="0.25">
      <c r="A92" s="14" t="s">
        <v>415</v>
      </c>
      <c r="B92" s="29" t="s">
        <v>394</v>
      </c>
      <c r="C92" s="87"/>
      <c r="D92" s="88"/>
      <c r="E92" s="88"/>
      <c r="F92" s="30"/>
      <c r="G92" s="8" t="str">
        <f>IF(C92="","",IF(C92="Yes","Summarize your securing coding training and state how frequently employees are required to undergo this training.","State plans to make secure coding training mandatory for all developers."))</f>
        <v/>
      </c>
      <c r="H92" s="48"/>
      <c r="I92" s="49" t="s">
        <v>476</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row>
    <row r="93" spans="1:178" customFormat="1" ht="117" customHeight="1" x14ac:dyDescent="0.25">
      <c r="A93" s="14" t="s">
        <v>416</v>
      </c>
      <c r="B93" s="29" t="s">
        <v>586</v>
      </c>
      <c r="C93" s="87"/>
      <c r="D93" s="88"/>
      <c r="E93" s="88"/>
      <c r="F93" s="30"/>
      <c r="G93" s="8"/>
      <c r="H93" s="48"/>
      <c r="I93" s="49" t="s">
        <v>465</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row>
    <row r="94" spans="1:178" customFormat="1" ht="73.5" customHeight="1" x14ac:dyDescent="0.25">
      <c r="A94" s="14" t="s">
        <v>417</v>
      </c>
      <c r="B94" s="29" t="s">
        <v>587</v>
      </c>
      <c r="C94" s="81"/>
      <c r="D94" s="82"/>
      <c r="E94" s="82"/>
      <c r="F94" s="83"/>
      <c r="G94" s="8"/>
      <c r="H94" s="48"/>
      <c r="I94" s="49"/>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row>
    <row r="95" spans="1:178" customFormat="1" ht="73.5" customHeight="1" x14ac:dyDescent="0.25">
      <c r="A95" s="14" t="s">
        <v>477</v>
      </c>
      <c r="B95" s="29" t="s">
        <v>106</v>
      </c>
      <c r="C95" s="79"/>
      <c r="D95" s="80"/>
      <c r="E95" s="80"/>
      <c r="F95" s="20"/>
      <c r="G95" s="8" t="str">
        <f>IF(C95="","",IF(C95="Yes","Summarize the required agreements and reviewed policies.","Summarize why new employees are not required to accept agreements or review policy, as well as any practices that are conducted with new employees."))</f>
        <v/>
      </c>
      <c r="H95" s="48"/>
      <c r="I95" s="49"/>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row>
    <row r="96" spans="1:178" customFormat="1" ht="73.5" customHeight="1" x14ac:dyDescent="0.25">
      <c r="A96" s="14" t="s">
        <v>478</v>
      </c>
      <c r="B96" s="29" t="s">
        <v>157</v>
      </c>
      <c r="C96" s="79"/>
      <c r="D96" s="80"/>
      <c r="E96" s="80"/>
      <c r="F96" s="20"/>
      <c r="G96" s="8" t="str">
        <f>IF(C96="","",IF(C96="Yes","Summarize your security awareness and privacy training content and state how frequently employees are required to undergo security awareness training.","State plans to make security awareness training mandatory for all employees."))</f>
        <v/>
      </c>
      <c r="H96" s="48"/>
      <c r="I96" s="49"/>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row>
    <row r="97" spans="1:178" customFormat="1" ht="52.5" x14ac:dyDescent="0.25">
      <c r="A97" s="63" t="s">
        <v>177</v>
      </c>
      <c r="B97" s="63"/>
      <c r="C97" s="3" t="s">
        <v>673</v>
      </c>
      <c r="D97" s="3" t="s">
        <v>674</v>
      </c>
      <c r="E97" s="3" t="s">
        <v>121</v>
      </c>
      <c r="F97" s="3" t="s">
        <v>18</v>
      </c>
      <c r="G97" s="4" t="s">
        <v>19</v>
      </c>
      <c r="H97" s="3" t="s">
        <v>406</v>
      </c>
      <c r="I97" s="3" t="s">
        <v>440</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row>
    <row r="98" spans="1:178" s="1" customFormat="1" ht="47.15" customHeight="1" x14ac:dyDescent="0.25">
      <c r="A98" s="14" t="s">
        <v>198</v>
      </c>
      <c r="B98" s="5" t="s">
        <v>158</v>
      </c>
      <c r="C98" s="45"/>
      <c r="D98" s="45"/>
      <c r="E98" s="45"/>
      <c r="F98" s="46"/>
      <c r="G98" s="8"/>
      <c r="H98" s="48"/>
      <c r="I98" s="49"/>
    </row>
    <row r="99" spans="1:178" s="1" customFormat="1" ht="47.15" customHeight="1" x14ac:dyDescent="0.25">
      <c r="A99" s="14" t="s">
        <v>199</v>
      </c>
      <c r="B99" s="5" t="s">
        <v>588</v>
      </c>
      <c r="C99" s="45"/>
      <c r="D99" s="45"/>
      <c r="E99" s="45"/>
      <c r="F99" s="46"/>
      <c r="G99" s="8" t="str">
        <f>IF(C99="","",IF(C99="Yes","Please provide a high-level description of the major components of this program.","Describe plans to implement such an identity and access management program."))</f>
        <v/>
      </c>
      <c r="H99" s="48">
        <v>1</v>
      </c>
      <c r="I99" s="49" t="s">
        <v>479</v>
      </c>
    </row>
    <row r="100" spans="1:178" s="1" customFormat="1" ht="103.5" customHeight="1" x14ac:dyDescent="0.25">
      <c r="A100" s="14" t="s">
        <v>200</v>
      </c>
      <c r="B100" s="5" t="s">
        <v>589</v>
      </c>
      <c r="C100" s="45"/>
      <c r="D100" s="45"/>
      <c r="E100" s="45"/>
      <c r="F100" s="20"/>
      <c r="G100" s="8" t="str">
        <f>IF(C100="","",IF(C100="Yes","List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100" s="48"/>
      <c r="I100" s="49"/>
    </row>
    <row r="101" spans="1:178" s="1" customFormat="1" ht="84" customHeight="1" x14ac:dyDescent="0.25">
      <c r="A101" s="14" t="s">
        <v>201</v>
      </c>
      <c r="B101" s="29" t="s">
        <v>301</v>
      </c>
      <c r="C101" s="45"/>
      <c r="D101" s="45"/>
      <c r="E101" s="45"/>
      <c r="F101" s="32"/>
      <c r="G101" s="6" t="str">
        <f>IF(C101="","",IF(C101="Yes","Please describe the approval process.","Please descibe how access is granted and managed."))</f>
        <v/>
      </c>
      <c r="H101" s="48">
        <v>5</v>
      </c>
      <c r="I101" s="49" t="s">
        <v>480</v>
      </c>
    </row>
    <row r="102" spans="1:178" s="1" customFormat="1" ht="84" customHeight="1" x14ac:dyDescent="0.25">
      <c r="A102" s="14" t="s">
        <v>202</v>
      </c>
      <c r="B102" s="29" t="s">
        <v>402</v>
      </c>
      <c r="C102" s="45"/>
      <c r="D102" s="45"/>
      <c r="E102" s="45"/>
      <c r="F102" s="32"/>
      <c r="G102" s="6"/>
      <c r="H102" s="49">
        <v>6</v>
      </c>
      <c r="I102" s="49" t="s">
        <v>481</v>
      </c>
    </row>
    <row r="103" spans="1:178" s="1" customFormat="1" ht="84" customHeight="1" x14ac:dyDescent="0.25">
      <c r="A103" s="14" t="s">
        <v>418</v>
      </c>
      <c r="B103" s="29" t="s">
        <v>482</v>
      </c>
      <c r="C103" s="45"/>
      <c r="D103" s="45"/>
      <c r="E103" s="45"/>
      <c r="F103" s="32"/>
      <c r="G103" s="6"/>
      <c r="H103" s="49">
        <v>8</v>
      </c>
      <c r="I103" s="49" t="s">
        <v>483</v>
      </c>
    </row>
    <row r="104" spans="1:178" s="1" customFormat="1" ht="84" customHeight="1" x14ac:dyDescent="0.25">
      <c r="A104" s="14" t="s">
        <v>203</v>
      </c>
      <c r="B104" s="29" t="s">
        <v>408</v>
      </c>
      <c r="C104" s="45"/>
      <c r="D104" s="45"/>
      <c r="E104" s="45"/>
      <c r="F104" s="32"/>
      <c r="G104" s="6" t="str">
        <f>IF(C104="","",IF(C104="Yes","","If not reviewed annually, please provide frequency. If not reviewed, please state plans to implmenet periodic access reviews."))</f>
        <v/>
      </c>
      <c r="H104" s="49">
        <v>7</v>
      </c>
      <c r="I104" s="49" t="s">
        <v>484</v>
      </c>
    </row>
    <row r="105" spans="1:178" s="1" customFormat="1" ht="84" customHeight="1" x14ac:dyDescent="0.25">
      <c r="A105" s="14" t="s">
        <v>204</v>
      </c>
      <c r="B105" s="29" t="s">
        <v>401</v>
      </c>
      <c r="C105" s="45"/>
      <c r="D105" s="45"/>
      <c r="E105" s="45"/>
      <c r="F105" s="32"/>
      <c r="G105" s="6" t="str">
        <f>IF(C105="","",IF(C105="Yes","","If not reviewed annually, please provide frequency. If not reviewed, please state plans to implmenet periodic access reviews."))</f>
        <v/>
      </c>
      <c r="H105" s="48">
        <v>9</v>
      </c>
      <c r="I105" s="49" t="s">
        <v>485</v>
      </c>
    </row>
    <row r="106" spans="1:178" s="1" customFormat="1" ht="84" customHeight="1" x14ac:dyDescent="0.25">
      <c r="A106" s="14" t="s">
        <v>205</v>
      </c>
      <c r="B106" s="29" t="s">
        <v>124</v>
      </c>
      <c r="C106" s="45"/>
      <c r="D106" s="45"/>
      <c r="E106" s="45"/>
      <c r="F106" s="33"/>
      <c r="G106" s="6" t="str">
        <f>IF(C106="","",IF(C106="Yes","Submit documentation and/or web resources as to how remote access is provided, including security controls on the access (i.e., is multifactor authentication used?).","Provide details that prevent this capability."))</f>
        <v/>
      </c>
      <c r="H106" s="48"/>
      <c r="I106" s="49"/>
    </row>
    <row r="107" spans="1:178" s="1" customFormat="1" ht="84" customHeight="1" x14ac:dyDescent="0.25">
      <c r="A107" s="14" t="s">
        <v>206</v>
      </c>
      <c r="B107" s="29" t="s">
        <v>590</v>
      </c>
      <c r="C107" s="45"/>
      <c r="D107" s="45"/>
      <c r="E107" s="45"/>
      <c r="F107" s="33"/>
      <c r="G107" s="6"/>
      <c r="H107" s="48">
        <v>14</v>
      </c>
      <c r="I107" s="49" t="s">
        <v>486</v>
      </c>
    </row>
    <row r="108" spans="1:178" s="1" customFormat="1" ht="84" customHeight="1" x14ac:dyDescent="0.25">
      <c r="A108" s="14" t="s">
        <v>207</v>
      </c>
      <c r="B108" s="29" t="s">
        <v>395</v>
      </c>
      <c r="C108" s="45"/>
      <c r="D108" s="45"/>
      <c r="E108" s="45"/>
      <c r="F108" s="32"/>
      <c r="G108" s="8" t="str">
        <f>IF(C108="","",IF(C108="Yes","Please describe the reason for remote access as well as the process for achieving it.","Please describe in sufficient detail."))</f>
        <v/>
      </c>
      <c r="H108" s="48">
        <v>15</v>
      </c>
      <c r="I108" s="49" t="s">
        <v>487</v>
      </c>
    </row>
    <row r="109" spans="1:178" s="1" customFormat="1" ht="84" customHeight="1" x14ac:dyDescent="0.25">
      <c r="A109" s="14" t="s">
        <v>208</v>
      </c>
      <c r="B109" s="29" t="s">
        <v>591</v>
      </c>
      <c r="C109" s="45"/>
      <c r="D109" s="45"/>
      <c r="E109" s="45"/>
      <c r="F109" s="32"/>
      <c r="G109" s="8" t="str">
        <f>IF(C109="","",IF(C109="Yes","Please describe how remote access sessions are ended.",""))</f>
        <v/>
      </c>
      <c r="H109" s="48">
        <v>17</v>
      </c>
      <c r="I109" s="49" t="s">
        <v>488</v>
      </c>
    </row>
    <row r="110" spans="1:178" s="1" customFormat="1" ht="84" customHeight="1" x14ac:dyDescent="0.25">
      <c r="A110" s="14" t="s">
        <v>209</v>
      </c>
      <c r="B110" s="29" t="s">
        <v>332</v>
      </c>
      <c r="C110" s="45"/>
      <c r="D110" s="45"/>
      <c r="E110" s="45"/>
      <c r="F110" s="32"/>
      <c r="G110" s="8" t="str">
        <f>IF(C110="","",IF(C110="Yes","Please describe how this is accomplished.",""))</f>
        <v/>
      </c>
      <c r="H110" s="48">
        <v>19</v>
      </c>
      <c r="I110" s="49" t="s">
        <v>489</v>
      </c>
    </row>
    <row r="111" spans="1:178" s="1" customFormat="1" ht="84" customHeight="1" x14ac:dyDescent="0.25">
      <c r="A111" s="14" t="s">
        <v>210</v>
      </c>
      <c r="B111" s="29" t="s">
        <v>372</v>
      </c>
      <c r="C111" s="45"/>
      <c r="D111" s="45"/>
      <c r="E111" s="45"/>
      <c r="F111" s="32"/>
      <c r="G111" s="8" t="str">
        <f>IF(C111="","",IF(C111="Yes","Please describe the access required to your customer's networks, and these controls.",""))</f>
        <v/>
      </c>
      <c r="H111" s="48">
        <v>16</v>
      </c>
      <c r="I111" s="49" t="s">
        <v>490</v>
      </c>
    </row>
    <row r="112" spans="1:178" customFormat="1" ht="48" customHeight="1" x14ac:dyDescent="0.25">
      <c r="A112" s="14" t="s">
        <v>211</v>
      </c>
      <c r="B112" s="29" t="s">
        <v>175</v>
      </c>
      <c r="C112" s="45"/>
      <c r="D112" s="45"/>
      <c r="E112" s="45"/>
      <c r="F112" s="30"/>
      <c r="G112" s="8" t="str">
        <f>IF(C112="","",IF(C112="Yes","Describe how aging requirements are implemented, including expiration timeframes.","Describe plans to support password/passphrase aging requirements."))</f>
        <v/>
      </c>
      <c r="H112" s="48"/>
      <c r="I112" s="49"/>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row>
    <row r="113" spans="1:9" s="1" customFormat="1" ht="48" customHeight="1" x14ac:dyDescent="0.25">
      <c r="A113" s="14" t="s">
        <v>212</v>
      </c>
      <c r="B113" s="29" t="s">
        <v>169</v>
      </c>
      <c r="C113" s="45"/>
      <c r="D113" s="45"/>
      <c r="E113" s="45"/>
      <c r="F113" s="30"/>
      <c r="G113" s="8" t="str">
        <f>IF(C113="","",IF(C113="Yes","Describe your password/passphrase complexity requirements.","Describe plans to support password/passphrase complexity requirements."))</f>
        <v/>
      </c>
      <c r="H113" s="48"/>
      <c r="I113" s="49"/>
    </row>
    <row r="114" spans="1:9" s="1" customFormat="1" ht="65.150000000000006" customHeight="1" x14ac:dyDescent="0.25">
      <c r="A114" s="14" t="s">
        <v>213</v>
      </c>
      <c r="B114" s="29" t="s">
        <v>128</v>
      </c>
      <c r="C114" s="45"/>
      <c r="D114" s="45"/>
      <c r="E114" s="45"/>
      <c r="F114" s="34"/>
      <c r="G114" s="8" t="str">
        <f>IF(C114="","",IF(C114="Yes","Describe your documented password/passphrase reset procedures that are currently implemented in the system and/or customer support.","Describe your plans to document system password/passphrase reset procedures."))</f>
        <v/>
      </c>
      <c r="H114" s="48"/>
      <c r="I114" s="49"/>
    </row>
    <row r="115" spans="1:9" s="1" customFormat="1" ht="48" customHeight="1" x14ac:dyDescent="0.25">
      <c r="A115" s="14" t="s">
        <v>214</v>
      </c>
      <c r="B115" s="29" t="s">
        <v>129</v>
      </c>
      <c r="C115" s="45"/>
      <c r="D115" s="45"/>
      <c r="E115" s="45"/>
      <c r="F115" s="30"/>
      <c r="G115" s="8" t="str">
        <f>IF(C115="","",IF(C115="Yes","Provide a detailed description of passwords/passphrases hard-coded into your systems or products.",""))</f>
        <v/>
      </c>
      <c r="H115" s="48"/>
      <c r="I115" s="49"/>
    </row>
    <row r="116" spans="1:9" s="1" customFormat="1" ht="31" customHeight="1" x14ac:dyDescent="0.25">
      <c r="A116" s="14" t="s">
        <v>215</v>
      </c>
      <c r="B116" s="29" t="s">
        <v>130</v>
      </c>
      <c r="C116" s="45"/>
      <c r="D116" s="45"/>
      <c r="E116" s="45"/>
      <c r="F116" s="30"/>
      <c r="G116" s="8" t="str">
        <f>IF(C116="","",IF(C116="Yes","Provide a detailed description stating why user account passwords/passphrases are visible by administrators.",""))</f>
        <v/>
      </c>
      <c r="H116" s="48"/>
      <c r="I116" s="49"/>
    </row>
    <row r="117" spans="1:9" s="1" customFormat="1" ht="60" customHeight="1" x14ac:dyDescent="0.25">
      <c r="A117" s="14" t="s">
        <v>300</v>
      </c>
      <c r="B117" s="29" t="s">
        <v>131</v>
      </c>
      <c r="C117" s="45"/>
      <c r="D117" s="45"/>
      <c r="E117" s="45"/>
      <c r="F117" s="30"/>
      <c r="G117" s="8" t="str">
        <f>IF(C117="","",IF(C117="Yes","Describe or provide a reference to the algorithm/strategy that is used to encrypt stored passwords/passphrases.","Provide a detailed description stating why user account passwords/passphrases are not encrypted in storage."))</f>
        <v/>
      </c>
      <c r="H117" s="48"/>
      <c r="I117" s="49"/>
    </row>
    <row r="118" spans="1:9" s="1" customFormat="1" ht="103.5" customHeight="1" x14ac:dyDescent="0.25">
      <c r="A118" s="14" t="s">
        <v>302</v>
      </c>
      <c r="B118" s="29" t="s">
        <v>559</v>
      </c>
      <c r="C118" s="45"/>
      <c r="D118" s="45"/>
      <c r="E118" s="45"/>
      <c r="F118" s="30"/>
      <c r="G118" s="8" t="s">
        <v>173</v>
      </c>
      <c r="H118" s="48"/>
      <c r="I118" s="49"/>
    </row>
    <row r="119" spans="1:9" s="1" customFormat="1" ht="103.5" customHeight="1" x14ac:dyDescent="0.25">
      <c r="A119" s="14" t="s">
        <v>304</v>
      </c>
      <c r="B119" s="29" t="s">
        <v>560</v>
      </c>
      <c r="C119" s="45"/>
      <c r="D119" s="45"/>
      <c r="E119" s="45"/>
      <c r="F119" s="30"/>
      <c r="G119" s="8"/>
      <c r="H119" s="48"/>
      <c r="I119" s="49"/>
    </row>
    <row r="120" spans="1:9" s="1" customFormat="1" ht="54" customHeight="1" x14ac:dyDescent="0.25">
      <c r="A120" s="14" t="s">
        <v>305</v>
      </c>
      <c r="B120" s="29" t="s">
        <v>561</v>
      </c>
      <c r="C120" s="45"/>
      <c r="D120" s="45"/>
      <c r="E120" s="45"/>
      <c r="F120" s="30"/>
      <c r="G120" s="8" t="str">
        <f>IF(C120="","",IF(C120="Yes","Describe all authentication services supported by the system.","Describe any plans to support external authentication services in place of local authentication."))</f>
        <v/>
      </c>
      <c r="H120" s="48"/>
      <c r="I120" s="49"/>
    </row>
    <row r="121" spans="1:9" s="1" customFormat="1" ht="48" customHeight="1" x14ac:dyDescent="0.25">
      <c r="A121" s="14" t="s">
        <v>306</v>
      </c>
      <c r="B121" s="29" t="s">
        <v>297</v>
      </c>
      <c r="C121" s="45"/>
      <c r="D121" s="45"/>
      <c r="E121" s="45"/>
      <c r="F121" s="30"/>
      <c r="G121" s="8" t="str">
        <f>IF(C121="","",IF(C121="Yes","Provide a description of logging capabilities. Ensure that all elements of AAAI-17 are evaluated for your response.","Describe any plans to enable audit logs for these data elements."))</f>
        <v/>
      </c>
      <c r="H121" s="48"/>
      <c r="I121" s="49"/>
    </row>
    <row r="122" spans="1:9" s="1" customFormat="1" ht="96" customHeight="1" x14ac:dyDescent="0.25">
      <c r="A122" s="14" t="s">
        <v>329</v>
      </c>
      <c r="B122" s="29" t="s">
        <v>592</v>
      </c>
      <c r="C122" s="84"/>
      <c r="D122" s="85"/>
      <c r="E122" s="85"/>
      <c r="F122" s="86"/>
      <c r="G122" s="8" t="s">
        <v>171</v>
      </c>
      <c r="H122" s="48"/>
      <c r="I122" s="49"/>
    </row>
    <row r="123" spans="1:9" s="1" customFormat="1" ht="84" customHeight="1" x14ac:dyDescent="0.25">
      <c r="A123" s="14" t="s">
        <v>330</v>
      </c>
      <c r="B123" s="29" t="s">
        <v>593</v>
      </c>
      <c r="C123" s="45"/>
      <c r="D123" s="45"/>
      <c r="E123" s="45"/>
      <c r="F123" s="33"/>
      <c r="G123" s="6" t="str">
        <f>IF(C123="","",IF(C123="Yes","Describe how this is accomplished.","Describe any plans to implement role-based access controls for end-users."))</f>
        <v/>
      </c>
      <c r="H123" s="48"/>
      <c r="I123" s="49"/>
    </row>
    <row r="124" spans="1:9" s="1" customFormat="1" ht="84" customHeight="1" x14ac:dyDescent="0.25">
      <c r="A124" s="14" t="s">
        <v>331</v>
      </c>
      <c r="B124" s="29" t="s">
        <v>594</v>
      </c>
      <c r="C124" s="45"/>
      <c r="D124" s="45"/>
      <c r="E124" s="45"/>
      <c r="F124" s="33"/>
      <c r="G124" s="6" t="str">
        <f>IF(C124="","",IF(C124="Yes","Describe how this is accomplished.","Describe any plans to implement role-based access controls for administrators, as well as how access/what levels of access are currently granted to administrators."))</f>
        <v/>
      </c>
      <c r="H124" s="48"/>
      <c r="I124" s="49"/>
    </row>
    <row r="125" spans="1:9" s="1" customFormat="1" ht="84" customHeight="1" x14ac:dyDescent="0.25">
      <c r="A125" s="14" t="s">
        <v>371</v>
      </c>
      <c r="B125" s="29" t="s">
        <v>596</v>
      </c>
      <c r="C125" s="45"/>
      <c r="D125" s="45"/>
      <c r="E125" s="45"/>
      <c r="F125" s="33"/>
      <c r="G125" s="6" t="s">
        <v>303</v>
      </c>
      <c r="H125" s="48"/>
      <c r="I125" s="49"/>
    </row>
    <row r="126" spans="1:9" s="1" customFormat="1" ht="84" customHeight="1" x14ac:dyDescent="0.25">
      <c r="A126" s="14" t="s">
        <v>419</v>
      </c>
      <c r="B126" s="29" t="s">
        <v>284</v>
      </c>
      <c r="C126" s="45"/>
      <c r="D126" s="45"/>
      <c r="E126" s="45"/>
      <c r="F126" s="33"/>
      <c r="G126" s="35" t="str">
        <f>IF(C126="","",IF(C126="Yes","Describe or attach your policy or process.","Describe how the provisioning and administration of administrative accounts is currently carried out, as well as any plans to implement such a policy or process."))</f>
        <v/>
      </c>
      <c r="H126" s="48"/>
      <c r="I126" s="49"/>
    </row>
    <row r="127" spans="1:9" s="1" customFormat="1" ht="84" customHeight="1" x14ac:dyDescent="0.25">
      <c r="A127" s="14" t="s">
        <v>491</v>
      </c>
      <c r="B127" s="29" t="s">
        <v>595</v>
      </c>
      <c r="C127" s="45"/>
      <c r="D127" s="45"/>
      <c r="E127" s="45"/>
      <c r="F127" s="33"/>
      <c r="G127" s="8" t="str">
        <f>IF(C127="","",IF(C127="Yes","Provide a brief summary and the implement review interval.","Describe plans to implement privileged account access-list reviews to your environment."))</f>
        <v/>
      </c>
      <c r="H127" s="48"/>
      <c r="I127" s="49"/>
    </row>
    <row r="128" spans="1:9" s="1" customFormat="1" ht="61.4" customHeight="1" x14ac:dyDescent="0.25">
      <c r="A128" s="63" t="s">
        <v>180</v>
      </c>
      <c r="B128" s="63"/>
      <c r="C128" s="3" t="s">
        <v>673</v>
      </c>
      <c r="D128" s="3" t="s">
        <v>674</v>
      </c>
      <c r="E128" s="3" t="s">
        <v>121</v>
      </c>
      <c r="F128" s="3" t="s">
        <v>18</v>
      </c>
      <c r="G128" s="4" t="s">
        <v>19</v>
      </c>
      <c r="H128" s="3" t="s">
        <v>406</v>
      </c>
      <c r="I128" s="3" t="s">
        <v>440</v>
      </c>
    </row>
    <row r="129" spans="1:9" s="1" customFormat="1" ht="72.75" customHeight="1" x14ac:dyDescent="0.25">
      <c r="A129" s="31" t="s">
        <v>216</v>
      </c>
      <c r="B129" s="29" t="s">
        <v>597</v>
      </c>
      <c r="C129" s="45"/>
      <c r="D129" s="45"/>
      <c r="E129" s="45"/>
      <c r="F129" s="30"/>
      <c r="G129" s="8" t="str">
        <f>IF(C129="","",IF(C129="Yes","Provide a reference to your BCP and supporting documentation or submit it along with this fully-populated questionnaire. Please also descibe how you ensure data availability in the event of the loss of systems or facilities.","Briefly summarize your response."))</f>
        <v/>
      </c>
      <c r="H129" s="48">
        <v>21</v>
      </c>
      <c r="I129" s="49" t="s">
        <v>492</v>
      </c>
    </row>
    <row r="130" spans="1:9" s="1" customFormat="1" ht="48" customHeight="1" x14ac:dyDescent="0.25">
      <c r="A130" s="31" t="s">
        <v>217</v>
      </c>
      <c r="B130" s="29" t="s">
        <v>41</v>
      </c>
      <c r="C130" s="45"/>
      <c r="D130" s="45"/>
      <c r="E130" s="45"/>
      <c r="F130" s="30"/>
      <c r="G130" s="8" t="str">
        <f>IF(C130="","",IF(C130="Yes","Describe your BCP component review strategy.","Describe any plans to annually review and update (as needed) your BCP."))</f>
        <v/>
      </c>
      <c r="H130" s="48"/>
      <c r="I130" s="49" t="s">
        <v>493</v>
      </c>
    </row>
    <row r="131" spans="1:9" s="1" customFormat="1" ht="48" customHeight="1" x14ac:dyDescent="0.25">
      <c r="A131" s="14" t="s">
        <v>218</v>
      </c>
      <c r="B131" s="29" t="s">
        <v>42</v>
      </c>
      <c r="C131" s="45"/>
      <c r="D131" s="45"/>
      <c r="E131" s="45"/>
      <c r="F131" s="30"/>
      <c r="G131" s="8" t="str">
        <f>IF(C131="","",IF(C131="Yes","State the date of your last BCP test.","Describe your strategy to implement annual BCP testing."))</f>
        <v/>
      </c>
      <c r="H131" s="48"/>
      <c r="I131" s="49"/>
    </row>
    <row r="132" spans="1:9" s="1" customFormat="1" ht="64.400000000000006" customHeight="1" x14ac:dyDescent="0.25">
      <c r="A132" s="31" t="s">
        <v>219</v>
      </c>
      <c r="B132" s="29" t="s">
        <v>123</v>
      </c>
      <c r="C132" s="45"/>
      <c r="D132" s="45"/>
      <c r="E132" s="45"/>
      <c r="F132" s="30"/>
      <c r="G132" s="6" t="str">
        <f>IF(C132="","",IF(C132="Yes","Provide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32" s="48"/>
      <c r="I132" s="49" t="s">
        <v>494</v>
      </c>
    </row>
    <row r="133" spans="1:9" s="1" customFormat="1" ht="64.400000000000006" customHeight="1" x14ac:dyDescent="0.25">
      <c r="A133" s="31" t="s">
        <v>220</v>
      </c>
      <c r="B133" s="29" t="s">
        <v>598</v>
      </c>
      <c r="C133" s="45"/>
      <c r="D133" s="45"/>
      <c r="E133" s="45"/>
      <c r="F133" s="30"/>
      <c r="G133" s="6" t="str">
        <f>IF(C133="","",IF(C133="Yes","Provide a reference to the requested documents, or provide them when submitting this fully-populated questionnaire.","State any plans to provide system and/or application architecture diagrams."))</f>
        <v/>
      </c>
      <c r="H133" s="48"/>
      <c r="I133" s="49" t="s">
        <v>495</v>
      </c>
    </row>
    <row r="134" spans="1:9" s="1" customFormat="1" ht="64.400000000000006" customHeight="1" x14ac:dyDescent="0.25">
      <c r="A134" s="31" t="s">
        <v>221</v>
      </c>
      <c r="B134" s="29" t="s">
        <v>599</v>
      </c>
      <c r="C134" s="45"/>
      <c r="D134" s="45"/>
      <c r="E134" s="45"/>
      <c r="F134" s="30"/>
      <c r="G134" s="9" t="str">
        <f>IF(C134="","",IF(C134="Yes","Provide details of these procedures (link or attached).","Provide a detailed summary for this response, including your current end-of-life procedures."))</f>
        <v/>
      </c>
      <c r="H134" s="48">
        <v>40</v>
      </c>
      <c r="I134" s="49" t="s">
        <v>496</v>
      </c>
    </row>
    <row r="135" spans="1:9" s="1" customFormat="1" ht="64.400000000000006" customHeight="1" x14ac:dyDescent="0.25">
      <c r="A135" s="31" t="s">
        <v>222</v>
      </c>
      <c r="B135" s="29" t="s">
        <v>562</v>
      </c>
      <c r="C135" s="45"/>
      <c r="D135" s="45"/>
      <c r="E135" s="45"/>
      <c r="F135" s="30"/>
      <c r="G135" s="9" t="str">
        <f>IF(C135="","",IF(C135="Yes","Please provide a brief description of this process.","State plans to support secure deletion for archived/backed-up Utility data."))</f>
        <v/>
      </c>
      <c r="H135" s="48">
        <v>46</v>
      </c>
      <c r="I135" s="49" t="s">
        <v>497</v>
      </c>
    </row>
    <row r="136" spans="1:9" s="1" customFormat="1" ht="75" customHeight="1" x14ac:dyDescent="0.25">
      <c r="A136" s="31" t="s">
        <v>223</v>
      </c>
      <c r="B136" s="29" t="s">
        <v>578</v>
      </c>
      <c r="C136" s="45"/>
      <c r="D136" s="45"/>
      <c r="E136" s="45"/>
      <c r="F136" s="30"/>
      <c r="G136" s="9" t="s">
        <v>579</v>
      </c>
      <c r="H136" s="48">
        <v>24</v>
      </c>
      <c r="I136" s="49" t="s">
        <v>498</v>
      </c>
    </row>
    <row r="137" spans="1:9" s="1" customFormat="1" ht="103" customHeight="1" x14ac:dyDescent="0.25">
      <c r="A137" s="31" t="s">
        <v>224</v>
      </c>
      <c r="B137" s="29" t="s">
        <v>600</v>
      </c>
      <c r="C137" s="45"/>
      <c r="D137" s="45"/>
      <c r="E137" s="45"/>
      <c r="F137" s="30"/>
      <c r="G137" s="9" t="str">
        <f>IF(C137="","",IF(C137="Yes","Please descibe this program in adequate detail.",""))</f>
        <v/>
      </c>
      <c r="H137" s="48">
        <v>54</v>
      </c>
      <c r="I137" s="49" t="s">
        <v>499</v>
      </c>
    </row>
    <row r="138" spans="1:9" s="1" customFormat="1" ht="69" customHeight="1" x14ac:dyDescent="0.25">
      <c r="A138" s="31" t="s">
        <v>380</v>
      </c>
      <c r="B138" s="29" t="s">
        <v>367</v>
      </c>
      <c r="C138" s="45"/>
      <c r="D138" s="45"/>
      <c r="E138" s="45"/>
      <c r="F138" s="30"/>
      <c r="G138" s="9"/>
      <c r="H138" s="48">
        <v>58</v>
      </c>
      <c r="I138" s="49" t="s">
        <v>500</v>
      </c>
    </row>
    <row r="139" spans="1:9" s="1" customFormat="1" ht="69" customHeight="1" x14ac:dyDescent="0.25">
      <c r="A139" s="31" t="s">
        <v>225</v>
      </c>
      <c r="B139" s="29" t="s">
        <v>601</v>
      </c>
      <c r="C139" s="45"/>
      <c r="D139" s="45"/>
      <c r="E139" s="45"/>
      <c r="F139" s="30"/>
      <c r="G139" s="9" t="s">
        <v>368</v>
      </c>
      <c r="H139" s="48">
        <v>52</v>
      </c>
      <c r="I139" s="49" t="s">
        <v>501</v>
      </c>
    </row>
    <row r="140" spans="1:9" s="1" customFormat="1" ht="47.15" customHeight="1" x14ac:dyDescent="0.25">
      <c r="A140" s="14" t="s">
        <v>226</v>
      </c>
      <c r="B140" s="29" t="s">
        <v>132</v>
      </c>
      <c r="C140" s="45"/>
      <c r="D140" s="45"/>
      <c r="E140" s="45"/>
      <c r="F140" s="30"/>
      <c r="G140" s="8" t="str">
        <f>IF(C140="","",IF(C140="Yes","Summarize your defined problem/issue escalation plan contained in your BCP.","Describe any plans to define a problem/issue escalation plan in your BCP."))</f>
        <v/>
      </c>
      <c r="H140" s="48"/>
      <c r="I140" s="49"/>
    </row>
    <row r="141" spans="1:9" s="1" customFormat="1" ht="64.400000000000006" customHeight="1" x14ac:dyDescent="0.25">
      <c r="A141" s="14" t="s">
        <v>227</v>
      </c>
      <c r="B141" s="29" t="s">
        <v>602</v>
      </c>
      <c r="C141" s="45"/>
      <c r="D141" s="45"/>
      <c r="E141" s="45"/>
      <c r="F141" s="36"/>
      <c r="G141" s="8" t="str">
        <f>IF(C141="","",IF(C141="Yes","Provide a valid URL to your current DRP or submit it along with this fully-populated questionnaire.","Describe any plans to develop a Disaster Recovery Plan (DRP)."))</f>
        <v/>
      </c>
      <c r="H141" s="48"/>
      <c r="I141" s="49"/>
    </row>
    <row r="142" spans="1:9" s="1" customFormat="1" ht="64.400000000000006" customHeight="1" x14ac:dyDescent="0.25">
      <c r="A142" s="14" t="s">
        <v>228</v>
      </c>
      <c r="B142" s="29" t="s">
        <v>603</v>
      </c>
      <c r="C142" s="45"/>
      <c r="D142" s="45"/>
      <c r="E142" s="45"/>
      <c r="F142" s="30"/>
      <c r="G142" s="35" t="str">
        <f>IF(C142="","",IF(C142="Yes","Provide a links to these documents in Additional Information or attach them with your submission. Include the responsible party for your information security program and the size of your security staff.","Provide a brief summary for this response."))</f>
        <v/>
      </c>
      <c r="H142" s="48"/>
      <c r="I142" s="49"/>
    </row>
    <row r="143" spans="1:9" s="1" customFormat="1" ht="64.400000000000006" customHeight="1" x14ac:dyDescent="0.25">
      <c r="A143" s="14" t="s">
        <v>229</v>
      </c>
      <c r="B143" s="29" t="s">
        <v>182</v>
      </c>
      <c r="C143" s="45"/>
      <c r="D143" s="45"/>
      <c r="E143" s="45"/>
      <c r="F143" s="30"/>
      <c r="G143" s="8" t="str">
        <f>IF(C143="","",IF(C143="Yes","Describe how data will be returned to the Utility and in what format will it be presented, as well as how data will be securely deleted from your systems.","Summarize why the Utility's data won't be returned, and plans to implement secure deletion of Utility data."))</f>
        <v/>
      </c>
      <c r="H143" s="48"/>
      <c r="I143" s="49"/>
    </row>
    <row r="144" spans="1:9" s="1" customFormat="1" ht="64.400000000000006" customHeight="1" x14ac:dyDescent="0.25">
      <c r="A144" s="14" t="s">
        <v>230</v>
      </c>
      <c r="B144" s="29" t="s">
        <v>183</v>
      </c>
      <c r="C144" s="45"/>
      <c r="D144" s="45"/>
      <c r="E144" s="45"/>
      <c r="F144" s="30"/>
      <c r="G144" s="6" t="str">
        <f>IF(C144="","",IF(C144="Yes","Provide a reference to the requested documents, or provide them when submitting this fully-populated questionnaire.","State any plans to develop or provide data retention policies for Utility data."))</f>
        <v/>
      </c>
      <c r="H144" s="48"/>
      <c r="I144" s="49"/>
    </row>
    <row r="145" spans="1:178" s="1" customFormat="1" ht="64.400000000000006" customHeight="1" x14ac:dyDescent="0.25">
      <c r="A145" s="14" t="s">
        <v>295</v>
      </c>
      <c r="B145" s="29" t="s">
        <v>604</v>
      </c>
      <c r="C145" s="45"/>
      <c r="D145" s="45"/>
      <c r="E145" s="45"/>
      <c r="F145" s="30"/>
      <c r="G145" s="8" t="str">
        <f>IF(C145="","",IF(C145="Yes","Provide reference to or attach your data ownership documention.","Describe in detail why ownership rights are not retained by the Utility."))</f>
        <v/>
      </c>
      <c r="H145" s="48"/>
      <c r="I145" s="49"/>
    </row>
    <row r="146" spans="1:178" s="1" customFormat="1" ht="64.400000000000006" customHeight="1" x14ac:dyDescent="0.25">
      <c r="A146" s="14" t="s">
        <v>314</v>
      </c>
      <c r="B146" s="29" t="s">
        <v>73</v>
      </c>
      <c r="C146" s="45"/>
      <c r="D146" s="45"/>
      <c r="E146" s="45"/>
      <c r="F146" s="30"/>
      <c r="G146" s="9" t="str">
        <f>IF(C146="","",IF(C146="Yes","Provide a general summary of your long-term data retention strategy.","State plans to implement a long-term data retention strategy."))</f>
        <v/>
      </c>
      <c r="H146" s="48"/>
      <c r="I146" s="49"/>
    </row>
    <row r="147" spans="1:178" s="1" customFormat="1" ht="64.400000000000006" customHeight="1" x14ac:dyDescent="0.25">
      <c r="A147" s="14" t="s">
        <v>363</v>
      </c>
      <c r="B147" s="29" t="s">
        <v>135</v>
      </c>
      <c r="C147" s="45"/>
      <c r="D147" s="45"/>
      <c r="E147" s="45"/>
      <c r="F147" s="30"/>
      <c r="G147" s="9" t="str">
        <f>IF(C147="","",IF(C147="Yes","Describe how compliance is integrated into your process and procedures.","State plans to handle data in a compliant manner."))</f>
        <v/>
      </c>
      <c r="H147" s="48"/>
      <c r="I147" s="49"/>
    </row>
    <row r="148" spans="1:178" s="1" customFormat="1" ht="53.5" customHeight="1" x14ac:dyDescent="0.25">
      <c r="A148" s="63" t="s">
        <v>176</v>
      </c>
      <c r="B148" s="63"/>
      <c r="C148" s="3" t="s">
        <v>673</v>
      </c>
      <c r="D148" s="3" t="s">
        <v>674</v>
      </c>
      <c r="E148" s="3" t="s">
        <v>121</v>
      </c>
      <c r="F148" s="3" t="s">
        <v>18</v>
      </c>
      <c r="G148" s="4" t="s">
        <v>19</v>
      </c>
      <c r="H148" s="3" t="s">
        <v>406</v>
      </c>
      <c r="I148" s="3" t="s">
        <v>440</v>
      </c>
    </row>
    <row r="149" spans="1:178" s="1" customFormat="1" ht="48" customHeight="1" x14ac:dyDescent="0.25">
      <c r="A149" s="31" t="s">
        <v>43</v>
      </c>
      <c r="B149" s="29" t="s">
        <v>378</v>
      </c>
      <c r="C149" s="45"/>
      <c r="D149" s="45"/>
      <c r="E149" s="45"/>
      <c r="F149" s="30"/>
      <c r="G149" s="8" t="str">
        <f>IF(C149="","",IF(C149="Yes","Summarize your current change management process.","Describe current plans to implement a change management process."))</f>
        <v/>
      </c>
      <c r="H149" s="48"/>
      <c r="I149" s="49"/>
    </row>
    <row r="150" spans="1:178" customFormat="1" ht="78" customHeight="1" x14ac:dyDescent="0.25">
      <c r="A150" s="31" t="s">
        <v>44</v>
      </c>
      <c r="B150" s="29" t="s">
        <v>285</v>
      </c>
      <c r="C150" s="45"/>
      <c r="D150" s="45"/>
      <c r="E150" s="45"/>
      <c r="F150" s="33"/>
      <c r="G150" s="8" t="str">
        <f>IF(C150="","",IF(C150="Yes","Describe how this is accomplished within your environment.","Describe your plans to ensure that only application software verifiable as authorized, tested, and approved for production, is placed into production."))</f>
        <v/>
      </c>
      <c r="H150" s="48"/>
      <c r="I150" s="49" t="s">
        <v>502</v>
      </c>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row>
    <row r="151" spans="1:178" customFormat="1" ht="48" customHeight="1" x14ac:dyDescent="0.25">
      <c r="A151" s="31" t="s">
        <v>45</v>
      </c>
      <c r="B151" s="29" t="s">
        <v>379</v>
      </c>
      <c r="C151" s="45"/>
      <c r="D151" s="45"/>
      <c r="E151" s="45"/>
      <c r="F151" s="33"/>
      <c r="G151" s="8" t="s">
        <v>357</v>
      </c>
      <c r="H151" s="48">
        <v>50</v>
      </c>
      <c r="I151" s="49" t="s">
        <v>503</v>
      </c>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row>
    <row r="152" spans="1:178" customFormat="1" ht="48" customHeight="1" x14ac:dyDescent="0.25">
      <c r="A152" s="31" t="s">
        <v>46</v>
      </c>
      <c r="B152" s="29" t="s">
        <v>365</v>
      </c>
      <c r="C152" s="45"/>
      <c r="D152" s="45"/>
      <c r="E152" s="45"/>
      <c r="F152" s="30"/>
      <c r="G152" s="9"/>
      <c r="H152" s="48">
        <v>56</v>
      </c>
      <c r="I152" s="49" t="s">
        <v>504</v>
      </c>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row>
    <row r="153" spans="1:178" s="1" customFormat="1" ht="48" customHeight="1" x14ac:dyDescent="0.25">
      <c r="A153" s="31" t="s">
        <v>48</v>
      </c>
      <c r="B153" s="29" t="s">
        <v>605</v>
      </c>
      <c r="C153" s="45"/>
      <c r="D153" s="45"/>
      <c r="E153" s="45"/>
      <c r="F153" s="30"/>
      <c r="G153" s="8" t="str">
        <f>IF(C153="","",IF(C153="Yes","Summarize your implemented system configuration management process.","Describe how system configuration management is currently handled in your environment."))</f>
        <v/>
      </c>
      <c r="H153" s="48"/>
      <c r="I153" s="49"/>
    </row>
    <row r="154" spans="1:178" s="1" customFormat="1" ht="48" customHeight="1" x14ac:dyDescent="0.25">
      <c r="A154" s="31" t="s">
        <v>49</v>
      </c>
      <c r="B154" s="29" t="s">
        <v>93</v>
      </c>
      <c r="C154" s="45"/>
      <c r="D154" s="45"/>
      <c r="E154" s="45"/>
      <c r="F154" s="36"/>
      <c r="G154" s="35" t="str">
        <f>IF(C154="","",IF(C154="Yes","Summarize your systems management and configuration strategy.","Describe your intent to implement a systems management and configuration strategy."))</f>
        <v/>
      </c>
      <c r="H154" s="48"/>
      <c r="I154" s="49"/>
    </row>
    <row r="155" spans="1:178" s="1" customFormat="1" ht="90" customHeight="1" x14ac:dyDescent="0.25">
      <c r="A155" s="31" t="s">
        <v>50</v>
      </c>
      <c r="B155" s="29" t="s">
        <v>145</v>
      </c>
      <c r="C155" s="45"/>
      <c r="D155" s="45"/>
      <c r="E155" s="45"/>
      <c r="F155" s="36"/>
      <c r="G155" s="8" t="s">
        <v>139</v>
      </c>
      <c r="H155" s="48"/>
      <c r="I155" s="49"/>
    </row>
    <row r="156" spans="1:178" customFormat="1" ht="64.400000000000006" customHeight="1" x14ac:dyDescent="0.25">
      <c r="A156" s="31" t="s">
        <v>51</v>
      </c>
      <c r="B156" s="29" t="s">
        <v>606</v>
      </c>
      <c r="C156" s="45"/>
      <c r="D156" s="45"/>
      <c r="E156" s="45"/>
      <c r="F156" s="33"/>
      <c r="G156" s="9" t="str">
        <f>IF(C156="","",IF(C156="Yes","State how and when the Utility will be notified of major changes to your environment.","Describe plans to establish a formal notification mechanism for major environmental changes."))</f>
        <v/>
      </c>
      <c r="H156" s="48"/>
      <c r="I156" s="49"/>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row>
    <row r="157" spans="1:178" customFormat="1" ht="64.400000000000006" customHeight="1" x14ac:dyDescent="0.25">
      <c r="A157" s="31" t="s">
        <v>52</v>
      </c>
      <c r="B157" s="29" t="s">
        <v>47</v>
      </c>
      <c r="C157" s="45"/>
      <c r="D157" s="45"/>
      <c r="E157" s="45"/>
      <c r="F157" s="33"/>
      <c r="G157" s="9" t="str">
        <f>IF(C157="","",IF(C157="Yes","Summarize or provide a reference to the process/procedure to manage releases.","Summarize why clients do not have alternative release options."))</f>
        <v/>
      </c>
      <c r="H157" s="48"/>
      <c r="I157" s="49"/>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row>
    <row r="158" spans="1:178" customFormat="1" ht="64.400000000000006" customHeight="1" x14ac:dyDescent="0.25">
      <c r="A158" s="31" t="s">
        <v>231</v>
      </c>
      <c r="B158" s="29" t="s">
        <v>146</v>
      </c>
      <c r="C158" s="45"/>
      <c r="D158" s="45"/>
      <c r="E158" s="45"/>
      <c r="F158" s="33"/>
      <c r="G158" s="9" t="str">
        <f>IF(C158="","",IF(C158="Yes","Please describe your support strategy.",""))</f>
        <v/>
      </c>
      <c r="H158" s="48"/>
      <c r="I158" s="49"/>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row>
    <row r="159" spans="1:178" customFormat="1" ht="64.400000000000006" customHeight="1" x14ac:dyDescent="0.25">
      <c r="A159" s="31" t="s">
        <v>53</v>
      </c>
      <c r="B159" s="29" t="s">
        <v>133</v>
      </c>
      <c r="C159" s="45"/>
      <c r="D159" s="45"/>
      <c r="E159" s="45"/>
      <c r="F159" s="33"/>
      <c r="G159" s="8" t="str">
        <f>IF(C159="","",IF(C159="Yes","Describe how this is accomplished within your system.","Describe any business or technical reasons why customizations are not supported."))</f>
        <v/>
      </c>
      <c r="H159" s="48"/>
      <c r="I159" s="49"/>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row>
    <row r="160" spans="1:178" customFormat="1" ht="64.400000000000006" customHeight="1" x14ac:dyDescent="0.25">
      <c r="A160" s="31" t="s">
        <v>54</v>
      </c>
      <c r="B160" s="29" t="s">
        <v>607</v>
      </c>
      <c r="C160" s="45"/>
      <c r="D160" s="45"/>
      <c r="E160" s="45"/>
      <c r="F160" s="33"/>
      <c r="G160" s="8" t="str">
        <f>IF(C160="","",IF(C160="Yes","Please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60" s="48"/>
      <c r="I160" s="49"/>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row>
    <row r="161" spans="1:178" customFormat="1" ht="64.400000000000006" customHeight="1" x14ac:dyDescent="0.25">
      <c r="A161" s="31" t="s">
        <v>232</v>
      </c>
      <c r="B161" s="29" t="s">
        <v>608</v>
      </c>
      <c r="C161" s="45"/>
      <c r="D161" s="45"/>
      <c r="E161" s="45"/>
      <c r="F161" s="46"/>
      <c r="G161" s="8" t="str">
        <f>IF(C161="","",IF(C161="Yes","Summarize the policy and procedure(s) guiding risk mitigation practices before critical patches can be applied and provide a copy if available.","State your plans to implement policy and procedure(s) guiding risk mitigation practices before critical patches can be applied."))</f>
        <v/>
      </c>
      <c r="H161" s="48"/>
      <c r="I161" s="49"/>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row>
    <row r="162" spans="1:178" customFormat="1" ht="48" customHeight="1" x14ac:dyDescent="0.25">
      <c r="A162" s="31" t="s">
        <v>364</v>
      </c>
      <c r="B162" s="29" t="s">
        <v>81</v>
      </c>
      <c r="C162" s="45"/>
      <c r="D162" s="45"/>
      <c r="E162" s="45"/>
      <c r="F162" s="46"/>
      <c r="G162" s="8" t="str">
        <f>IF(C162="","",IF(C162="Yes","Please describe the policy, including required approvals, for firewall change requests.","State your plans to implement a firewall change request policy or procedure."))</f>
        <v/>
      </c>
      <c r="H162" s="48"/>
      <c r="I162" s="49"/>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row>
    <row r="163" spans="1:178" customFormat="1" ht="52.5" x14ac:dyDescent="0.3">
      <c r="A163" s="63" t="s">
        <v>181</v>
      </c>
      <c r="B163" s="63"/>
      <c r="C163" s="3" t="s">
        <v>673</v>
      </c>
      <c r="D163" s="3" t="s">
        <v>674</v>
      </c>
      <c r="E163" s="3" t="s">
        <v>121</v>
      </c>
      <c r="F163" s="3" t="s">
        <v>18</v>
      </c>
      <c r="G163" s="4" t="s">
        <v>19</v>
      </c>
      <c r="H163" s="3" t="s">
        <v>406</v>
      </c>
      <c r="I163" s="3" t="s">
        <v>440</v>
      </c>
    </row>
    <row r="164" spans="1:178" customFormat="1" ht="48" customHeight="1" x14ac:dyDescent="0.3">
      <c r="A164" s="31" t="s">
        <v>382</v>
      </c>
      <c r="B164" s="29" t="s">
        <v>381</v>
      </c>
      <c r="C164" s="45"/>
      <c r="D164" s="45"/>
      <c r="E164" s="45"/>
      <c r="F164" s="20"/>
      <c r="G164" s="8" t="str">
        <f>IF(C164="","",IF(C164="Yes","Provide a general summary of your archival environment.","State plans to store long-term media in environmentally protected areas."))</f>
        <v/>
      </c>
      <c r="H164" s="51"/>
      <c r="I164" s="51" t="s">
        <v>505</v>
      </c>
    </row>
    <row r="165" spans="1:178" customFormat="1" ht="48" customHeight="1" x14ac:dyDescent="0.3">
      <c r="A165" s="31" t="s">
        <v>383</v>
      </c>
      <c r="B165" s="29" t="s">
        <v>609</v>
      </c>
      <c r="C165" s="45"/>
      <c r="D165" s="45"/>
      <c r="E165" s="45"/>
      <c r="F165" s="30"/>
      <c r="G165" s="8"/>
      <c r="H165" s="51"/>
      <c r="I165" s="51" t="s">
        <v>506</v>
      </c>
    </row>
    <row r="166" spans="1:178" customFormat="1" ht="48" customHeight="1" x14ac:dyDescent="0.3">
      <c r="A166" s="31" t="s">
        <v>384</v>
      </c>
      <c r="B166" s="29" t="s">
        <v>77</v>
      </c>
      <c r="C166" s="45"/>
      <c r="D166" s="45"/>
      <c r="E166" s="45"/>
      <c r="F166" s="30"/>
      <c r="G166" s="8" t="str">
        <f>IF(C166="","",IF(C166="Yes","","Please describe security controls that prevent unauthorized physical contacts with your devices."))</f>
        <v/>
      </c>
      <c r="H166" s="51"/>
      <c r="I166" s="51"/>
    </row>
    <row r="167" spans="1:178" customFormat="1" ht="48" customHeight="1" x14ac:dyDescent="0.3">
      <c r="A167" s="31" t="s">
        <v>385</v>
      </c>
      <c r="B167" s="29" t="s">
        <v>610</v>
      </c>
      <c r="C167" s="45"/>
      <c r="D167" s="45"/>
      <c r="E167" s="45"/>
      <c r="F167" s="30"/>
      <c r="G167" s="8"/>
      <c r="H167" s="51"/>
      <c r="I167" s="51"/>
    </row>
    <row r="168" spans="1:178" customFormat="1" ht="48" customHeight="1" x14ac:dyDescent="0.3">
      <c r="A168" s="31" t="s">
        <v>386</v>
      </c>
      <c r="B168" s="29" t="s">
        <v>611</v>
      </c>
      <c r="C168" s="45"/>
      <c r="D168" s="45"/>
      <c r="E168" s="45"/>
      <c r="F168" s="25"/>
      <c r="G168" s="8" t="str">
        <f>IF(C168="","",IF(C168="Yes","Please describe how this is accomplished, including the process by which it is ensure that access has been approved before it is provisioned.","Please describe plans to implement appropriate segregation of duties."))</f>
        <v/>
      </c>
      <c r="H168" s="51"/>
      <c r="I168" s="51" t="s">
        <v>507</v>
      </c>
    </row>
    <row r="169" spans="1:178" customFormat="1" ht="48" customHeight="1" x14ac:dyDescent="0.3">
      <c r="A169" s="31" t="s">
        <v>387</v>
      </c>
      <c r="B169" s="29" t="s">
        <v>134</v>
      </c>
      <c r="C169" s="45"/>
      <c r="D169" s="45"/>
      <c r="E169" s="45"/>
      <c r="F169" s="36"/>
      <c r="G169" s="8" t="s">
        <v>69</v>
      </c>
      <c r="H169" s="51"/>
      <c r="I169" s="51"/>
    </row>
    <row r="170" spans="1:178" customFormat="1" ht="48" customHeight="1" x14ac:dyDescent="0.3">
      <c r="A170" s="31" t="s">
        <v>388</v>
      </c>
      <c r="B170" s="29" t="s">
        <v>148</v>
      </c>
      <c r="C170" s="45"/>
      <c r="D170" s="45"/>
      <c r="E170" s="45"/>
      <c r="F170" s="20"/>
      <c r="G170" s="8" t="str">
        <f>IF(C170="","",IF(C170="Yes","","State plans to adhere to DoD 5220.22-M and/or NIST SP 800-88 standards."))</f>
        <v/>
      </c>
      <c r="H170" s="51"/>
      <c r="I170" s="51"/>
    </row>
    <row r="171" spans="1:178" customFormat="1" ht="48" customHeight="1" x14ac:dyDescent="0.3">
      <c r="A171" s="31" t="s">
        <v>389</v>
      </c>
      <c r="B171" s="29" t="s">
        <v>79</v>
      </c>
      <c r="C171" s="45"/>
      <c r="D171" s="45"/>
      <c r="E171" s="45"/>
      <c r="F171" s="20"/>
      <c r="G171" s="8" t="str">
        <f>IF(C171="","",IF(C171="Yes","Describe how and where WAFs are currently implemented in your environment.","Describe any plans to implement a WAF in your environment."))</f>
        <v/>
      </c>
      <c r="H171" s="51"/>
      <c r="I171" s="51"/>
    </row>
    <row r="172" spans="1:178" customFormat="1" ht="48" customHeight="1" x14ac:dyDescent="0.3">
      <c r="A172" s="31" t="s">
        <v>390</v>
      </c>
      <c r="B172" s="29" t="s">
        <v>80</v>
      </c>
      <c r="C172" s="45"/>
      <c r="D172" s="45"/>
      <c r="E172" s="45"/>
      <c r="F172" s="20"/>
      <c r="G172" s="8" t="str">
        <f>IF(C172="","",IF(C172="Yes","Describe how and where SPI firewalls are currently implemented in your environment.","State any plans to implement SPI firewalls in your environment."))</f>
        <v/>
      </c>
      <c r="H172" s="51"/>
      <c r="I172" s="51"/>
    </row>
    <row r="173" spans="1:178" customFormat="1" ht="48" customHeight="1" x14ac:dyDescent="0.3">
      <c r="A173" s="31" t="s">
        <v>233</v>
      </c>
      <c r="B173" s="29" t="s">
        <v>612</v>
      </c>
      <c r="C173" s="45"/>
      <c r="D173" s="45"/>
      <c r="E173" s="45"/>
      <c r="F173" s="20"/>
      <c r="G173" s="8"/>
      <c r="H173" s="51"/>
      <c r="I173" s="51"/>
    </row>
    <row r="174" spans="1:178" customFormat="1" ht="48" customHeight="1" x14ac:dyDescent="0.3">
      <c r="A174" s="31" t="s">
        <v>234</v>
      </c>
      <c r="B174" s="29" t="s">
        <v>82</v>
      </c>
      <c r="C174" s="45"/>
      <c r="D174" s="45"/>
      <c r="E174" s="45"/>
      <c r="F174" s="20"/>
      <c r="G174" s="8" t="str">
        <f>IF(C174="","",IF(C174="Yes","","Please describe for which network(s) and/or tool(s) audit logs are not available."))</f>
        <v/>
      </c>
      <c r="H174" s="51"/>
      <c r="I174" s="51"/>
    </row>
    <row r="175" spans="1:178" customFormat="1" ht="48" customHeight="1" x14ac:dyDescent="0.3">
      <c r="A175" s="31" t="s">
        <v>235</v>
      </c>
      <c r="B175" s="29" t="s">
        <v>184</v>
      </c>
      <c r="C175" s="45"/>
      <c r="D175" s="45"/>
      <c r="E175" s="45"/>
      <c r="F175" s="20"/>
      <c r="G175" s="8" t="str">
        <f>IF(C175="","",IF(C175="Yes","Please describe how the development environments/systems are isolated.","Describe any plans to segregate development environments/systems from other networks."))</f>
        <v/>
      </c>
      <c r="H175" s="51"/>
      <c r="I175" s="51"/>
    </row>
    <row r="176" spans="1:178" customFormat="1" ht="48" customHeight="1" x14ac:dyDescent="0.3">
      <c r="A176" s="31" t="s">
        <v>236</v>
      </c>
      <c r="B176" s="29" t="s">
        <v>174</v>
      </c>
      <c r="C176" s="45"/>
      <c r="D176" s="45"/>
      <c r="E176" s="45"/>
      <c r="F176" s="20"/>
      <c r="G176" s="8"/>
      <c r="H176" s="51"/>
      <c r="I176" s="51"/>
    </row>
    <row r="177" spans="1:9" customFormat="1" ht="48" customHeight="1" x14ac:dyDescent="0.3">
      <c r="A177" s="31" t="s">
        <v>237</v>
      </c>
      <c r="B177" s="29" t="s">
        <v>74</v>
      </c>
      <c r="C177" s="45"/>
      <c r="D177" s="45"/>
      <c r="E177" s="45"/>
      <c r="F177" s="20"/>
      <c r="G177" s="8" t="str">
        <f>IF(C177="","",IF(C177="Yes","Please provide a copy of the SOC 2 Type 2 audit report.","Describe any plans to conduct a SOC 2 Type 2 audit."))</f>
        <v/>
      </c>
      <c r="H177" s="51"/>
      <c r="I177" s="51"/>
    </row>
    <row r="178" spans="1:9" customFormat="1" ht="48" customHeight="1" x14ac:dyDescent="0.3">
      <c r="A178" s="31" t="s">
        <v>238</v>
      </c>
      <c r="B178" s="29" t="s">
        <v>75</v>
      </c>
      <c r="C178" s="45"/>
      <c r="D178" s="45"/>
      <c r="E178" s="45"/>
      <c r="F178" s="20"/>
      <c r="G178" s="8"/>
      <c r="H178" s="51"/>
      <c r="I178" s="51"/>
    </row>
    <row r="179" spans="1:9" customFormat="1" ht="48" customHeight="1" x14ac:dyDescent="0.3">
      <c r="A179" s="31" t="s">
        <v>239</v>
      </c>
      <c r="B179" s="29" t="s">
        <v>76</v>
      </c>
      <c r="C179" s="45"/>
      <c r="D179" s="45"/>
      <c r="E179" s="45"/>
      <c r="F179" s="20"/>
      <c r="G179" s="8" t="str">
        <f>IF(C179="","",IF(C179="Yes","","Please describe how your servers are physically separated/isolated from those of other customers."))</f>
        <v/>
      </c>
      <c r="H179" s="51"/>
      <c r="I179" s="51"/>
    </row>
    <row r="180" spans="1:9" customFormat="1" ht="48" customHeight="1" x14ac:dyDescent="0.3">
      <c r="A180" s="31" t="s">
        <v>240</v>
      </c>
      <c r="B180" s="29" t="s">
        <v>78</v>
      </c>
      <c r="C180" s="45"/>
      <c r="D180" s="45"/>
      <c r="E180" s="45"/>
      <c r="F180" s="20"/>
      <c r="G180" s="8"/>
      <c r="H180" s="51"/>
      <c r="I180" s="51"/>
    </row>
    <row r="181" spans="1:9" customFormat="1" ht="48" customHeight="1" x14ac:dyDescent="0.3">
      <c r="A181" s="31" t="s">
        <v>241</v>
      </c>
      <c r="B181" s="29" t="s">
        <v>613</v>
      </c>
      <c r="C181" s="45"/>
      <c r="D181" s="45"/>
      <c r="E181" s="45"/>
      <c r="F181" s="20"/>
      <c r="G181" s="8"/>
      <c r="H181" s="51"/>
      <c r="I181" s="51"/>
    </row>
    <row r="182" spans="1:9" customFormat="1" ht="48" customHeight="1" x14ac:dyDescent="0.3">
      <c r="A182" s="31" t="s">
        <v>242</v>
      </c>
      <c r="B182" s="29" t="s">
        <v>614</v>
      </c>
      <c r="C182" s="45"/>
      <c r="D182" s="45"/>
      <c r="E182" s="45"/>
      <c r="F182" s="20"/>
      <c r="G182" s="8"/>
      <c r="H182" s="51"/>
      <c r="I182" s="51"/>
    </row>
    <row r="183" spans="1:9" customFormat="1" ht="48" customHeight="1" x14ac:dyDescent="0.3">
      <c r="A183" s="31" t="s">
        <v>243</v>
      </c>
      <c r="B183" s="29" t="s">
        <v>615</v>
      </c>
      <c r="C183" s="45"/>
      <c r="D183" s="45"/>
      <c r="E183" s="45"/>
      <c r="F183" s="20"/>
      <c r="G183" s="8"/>
      <c r="H183" s="51"/>
      <c r="I183" s="51"/>
    </row>
    <row r="184" spans="1:9" customFormat="1" ht="48" customHeight="1" x14ac:dyDescent="0.3">
      <c r="A184" s="31" t="s">
        <v>244</v>
      </c>
      <c r="B184" s="29" t="s">
        <v>88</v>
      </c>
      <c r="C184" s="45"/>
      <c r="D184" s="45"/>
      <c r="E184" s="45"/>
      <c r="F184" s="20"/>
      <c r="G184" s="8"/>
      <c r="H184" s="51"/>
      <c r="I184" s="51"/>
    </row>
    <row r="185" spans="1:9" customFormat="1" ht="48" customHeight="1" x14ac:dyDescent="0.3">
      <c r="A185" s="31" t="s">
        <v>245</v>
      </c>
      <c r="B185" s="29" t="s">
        <v>126</v>
      </c>
      <c r="C185" s="45"/>
      <c r="D185" s="45"/>
      <c r="E185" s="45"/>
      <c r="F185" s="20"/>
      <c r="G185" s="8"/>
      <c r="H185" s="51"/>
      <c r="I185" s="51"/>
    </row>
    <row r="186" spans="1:9" customFormat="1" ht="48" customHeight="1" x14ac:dyDescent="0.3">
      <c r="A186" s="31" t="s">
        <v>246</v>
      </c>
      <c r="B186" s="29" t="s">
        <v>127</v>
      </c>
      <c r="C186" s="45"/>
      <c r="D186" s="45"/>
      <c r="E186" s="45"/>
      <c r="F186" s="20"/>
      <c r="G186" s="8"/>
      <c r="H186" s="51"/>
      <c r="I186" s="51"/>
    </row>
    <row r="187" spans="1:9" customFormat="1" ht="48" customHeight="1" x14ac:dyDescent="0.3">
      <c r="A187" s="31" t="s">
        <v>298</v>
      </c>
      <c r="B187" s="29" t="s">
        <v>286</v>
      </c>
      <c r="C187" s="45"/>
      <c r="D187" s="45"/>
      <c r="E187" s="45"/>
      <c r="F187" s="20"/>
      <c r="G187" s="8"/>
      <c r="H187" s="51"/>
      <c r="I187" s="51"/>
    </row>
    <row r="188" spans="1:9" customFormat="1" ht="52.5" x14ac:dyDescent="0.3">
      <c r="A188" s="63" t="s">
        <v>185</v>
      </c>
      <c r="B188" s="63"/>
      <c r="C188" s="3" t="s">
        <v>673</v>
      </c>
      <c r="D188" s="3" t="s">
        <v>674</v>
      </c>
      <c r="E188" s="3" t="s">
        <v>121</v>
      </c>
      <c r="F188" s="3" t="s">
        <v>18</v>
      </c>
      <c r="G188" s="4" t="s">
        <v>19</v>
      </c>
      <c r="H188" s="3" t="s">
        <v>406</v>
      </c>
      <c r="I188" s="3" t="s">
        <v>440</v>
      </c>
    </row>
    <row r="189" spans="1:9" customFormat="1" ht="40.5" x14ac:dyDescent="0.3">
      <c r="A189" s="31" t="s">
        <v>55</v>
      </c>
      <c r="B189" s="29" t="s">
        <v>616</v>
      </c>
      <c r="C189" s="45"/>
      <c r="D189" s="45"/>
      <c r="E189" s="45"/>
      <c r="F189" s="19"/>
      <c r="G189" s="8" t="str">
        <f>IF(C189="","",IF(C189="Yes","Please state the algorithm/method used to achieve encryption in transit.","Please describe plans to encrypt data-in-transit."))</f>
        <v/>
      </c>
      <c r="H189" s="51">
        <v>18</v>
      </c>
      <c r="I189" s="51" t="s">
        <v>508</v>
      </c>
    </row>
    <row r="190" spans="1:9" customFormat="1" ht="54" x14ac:dyDescent="0.3">
      <c r="A190" s="31" t="s">
        <v>247</v>
      </c>
      <c r="B190" s="29" t="s">
        <v>617</v>
      </c>
      <c r="C190" s="45"/>
      <c r="D190" s="45"/>
      <c r="E190" s="45"/>
      <c r="F190" s="19"/>
      <c r="G190" s="8"/>
      <c r="H190" s="51">
        <v>44</v>
      </c>
      <c r="I190" s="51" t="s">
        <v>509</v>
      </c>
    </row>
    <row r="191" spans="1:9" customFormat="1" ht="64.400000000000006" customHeight="1" x14ac:dyDescent="0.3">
      <c r="A191" s="31" t="s">
        <v>56</v>
      </c>
      <c r="B191" s="29" t="s">
        <v>563</v>
      </c>
      <c r="C191" s="45"/>
      <c r="D191" s="45"/>
      <c r="E191" s="45"/>
      <c r="F191" s="19"/>
      <c r="G191" s="8" t="str">
        <f>IF(C191="","",IF(C191="Yes","Please state the algorithm/method used to achieve encryption in transit.","Please describe plans to encrypt data-in-transit."))</f>
        <v/>
      </c>
      <c r="H191" s="51">
        <v>42</v>
      </c>
      <c r="I191" s="51" t="s">
        <v>510</v>
      </c>
    </row>
    <row r="192" spans="1:9" customFormat="1" ht="64.400000000000006" customHeight="1" x14ac:dyDescent="0.3">
      <c r="A192" s="31" t="s">
        <v>57</v>
      </c>
      <c r="B192" s="29" t="s">
        <v>618</v>
      </c>
      <c r="C192" s="45"/>
      <c r="D192" s="45"/>
      <c r="E192" s="45"/>
      <c r="F192" s="19"/>
      <c r="G192" s="8" t="str">
        <f>IF(C192="","",IF(C192="Yes","Please state the algorithm/method used to achieve encryption at rest.","Please describe plans to encrypt data-at-rest."))</f>
        <v/>
      </c>
      <c r="H192" s="51"/>
      <c r="I192" s="51" t="s">
        <v>511</v>
      </c>
    </row>
    <row r="193" spans="1:9" customFormat="1" ht="64.400000000000006" customHeight="1" x14ac:dyDescent="0.3">
      <c r="A193" s="31" t="s">
        <v>58</v>
      </c>
      <c r="B193" s="29" t="s">
        <v>72</v>
      </c>
      <c r="C193" s="45"/>
      <c r="D193" s="45"/>
      <c r="E193" s="45"/>
      <c r="F193" s="19"/>
      <c r="G193" s="8"/>
      <c r="H193" s="51"/>
      <c r="I193" s="51"/>
    </row>
    <row r="194" spans="1:9" customFormat="1" ht="64.400000000000006" customHeight="1" x14ac:dyDescent="0.3">
      <c r="A194" s="31" t="s">
        <v>59</v>
      </c>
      <c r="B194" s="29" t="s">
        <v>619</v>
      </c>
      <c r="C194" s="45"/>
      <c r="D194" s="45"/>
      <c r="E194" s="45"/>
      <c r="F194" s="19"/>
      <c r="G194" s="8"/>
      <c r="H194" s="51"/>
      <c r="I194" s="51" t="s">
        <v>512</v>
      </c>
    </row>
    <row r="195" spans="1:9" customFormat="1" ht="64.400000000000006" customHeight="1" x14ac:dyDescent="0.3">
      <c r="A195" s="31" t="s">
        <v>60</v>
      </c>
      <c r="B195" s="29" t="s">
        <v>620</v>
      </c>
      <c r="C195" s="45"/>
      <c r="D195" s="45"/>
      <c r="E195" s="45"/>
      <c r="F195" s="36"/>
      <c r="G195" s="8"/>
      <c r="H195" s="51"/>
      <c r="I195" s="51" t="s">
        <v>513</v>
      </c>
    </row>
    <row r="196" spans="1:9" customFormat="1" ht="64.400000000000006" customHeight="1" x14ac:dyDescent="0.3">
      <c r="A196" s="31" t="s">
        <v>61</v>
      </c>
      <c r="B196" s="29" t="s">
        <v>396</v>
      </c>
      <c r="C196" s="45"/>
      <c r="D196" s="45"/>
      <c r="E196" s="45"/>
      <c r="F196" s="36"/>
      <c r="G196" s="8" t="str">
        <f>IF(C196="","",IF(C196="Yes","Please desctibe or provide a reference to this program.",""))</f>
        <v/>
      </c>
      <c r="H196" s="51">
        <v>38</v>
      </c>
      <c r="I196" s="51" t="s">
        <v>514</v>
      </c>
    </row>
    <row r="197" spans="1:9" customFormat="1" ht="64.400000000000006" customHeight="1" x14ac:dyDescent="0.3">
      <c r="A197" s="31" t="s">
        <v>62</v>
      </c>
      <c r="B197" s="29" t="s">
        <v>564</v>
      </c>
      <c r="C197" s="45"/>
      <c r="D197" s="45"/>
      <c r="E197" s="45"/>
      <c r="F197" s="36"/>
      <c r="G197" s="8" t="str">
        <f>IF(C197="","",IF(C197="Yes","","Please identify technologies that are not covered by your program, and how data is secured as it pertains to these technologies."))</f>
        <v/>
      </c>
      <c r="H197" s="51">
        <v>41</v>
      </c>
      <c r="I197" s="51" t="s">
        <v>515</v>
      </c>
    </row>
    <row r="198" spans="1:9" customFormat="1" ht="64.400000000000006" customHeight="1" x14ac:dyDescent="0.3">
      <c r="A198" s="31" t="s">
        <v>63</v>
      </c>
      <c r="B198" s="29" t="s">
        <v>351</v>
      </c>
      <c r="C198" s="45"/>
      <c r="D198" s="45"/>
      <c r="E198" s="45"/>
      <c r="F198" s="36"/>
      <c r="G198" s="8"/>
      <c r="H198" s="51">
        <v>43</v>
      </c>
      <c r="I198" s="51" t="s">
        <v>516</v>
      </c>
    </row>
    <row r="199" spans="1:9" customFormat="1" ht="64.400000000000006" customHeight="1" x14ac:dyDescent="0.3">
      <c r="A199" s="31" t="s">
        <v>64</v>
      </c>
      <c r="B199" s="29" t="s">
        <v>353</v>
      </c>
      <c r="C199" s="45"/>
      <c r="D199" s="45"/>
      <c r="E199" s="45"/>
      <c r="F199" s="36"/>
      <c r="G199" s="8" t="str">
        <f>IF(C199="","",IF(C199="Yes","Please describe your data loss prevention program and platforms supported.","State any plans to implement data loss prevention capabilities."))</f>
        <v/>
      </c>
      <c r="H199" s="51">
        <v>45</v>
      </c>
      <c r="I199" s="51" t="s">
        <v>517</v>
      </c>
    </row>
    <row r="200" spans="1:9" customFormat="1" ht="64.400000000000006" customHeight="1" x14ac:dyDescent="0.3">
      <c r="A200" s="31" t="s">
        <v>248</v>
      </c>
      <c r="B200" s="29" t="s">
        <v>359</v>
      </c>
      <c r="C200" s="45"/>
      <c r="D200" s="45"/>
      <c r="E200" s="45"/>
      <c r="F200" s="36"/>
      <c r="G200" s="8" t="str">
        <f>IF(C200="","",IF(C200="Yes","Please describe the process(es) and/or control(s).",""))</f>
        <v/>
      </c>
      <c r="H200" s="51">
        <v>52</v>
      </c>
      <c r="I200" s="51" t="s">
        <v>518</v>
      </c>
    </row>
    <row r="201" spans="1:9" customFormat="1" ht="48" customHeight="1" x14ac:dyDescent="0.3">
      <c r="A201" s="31" t="s">
        <v>249</v>
      </c>
      <c r="B201" s="29" t="s">
        <v>552</v>
      </c>
      <c r="C201" s="45"/>
      <c r="D201" s="45"/>
      <c r="E201" s="45"/>
      <c r="F201" s="30"/>
      <c r="G201" s="8" t="str">
        <f>IF(C201="","",IF(C201="Yes","Describe the on-site staff capabilities.","State any plans to staff data centers 24x7x365."))</f>
        <v/>
      </c>
      <c r="H201" s="51"/>
      <c r="I201" s="51"/>
    </row>
    <row r="202" spans="1:9" customFormat="1" ht="64.400000000000006" customHeight="1" x14ac:dyDescent="0.3">
      <c r="A202" s="31" t="s">
        <v>65</v>
      </c>
      <c r="B202" s="29" t="s">
        <v>144</v>
      </c>
      <c r="C202" s="45"/>
      <c r="D202" s="45"/>
      <c r="E202" s="45"/>
      <c r="F202" s="36"/>
      <c r="G202" s="8" t="str">
        <f>IF(C202="","",IF(C202="Yes","Please describe why logical segregation of data is not implemented/possible in your environment.","Please describe how data is segregated."))</f>
        <v/>
      </c>
      <c r="H202" s="51"/>
      <c r="I202" s="51"/>
    </row>
    <row r="203" spans="1:9" customFormat="1" ht="64.400000000000006" customHeight="1" x14ac:dyDescent="0.3">
      <c r="A203" s="31" t="s">
        <v>67</v>
      </c>
      <c r="B203" s="29" t="s">
        <v>621</v>
      </c>
      <c r="C203" s="45"/>
      <c r="D203" s="45"/>
      <c r="E203" s="45"/>
      <c r="F203" s="36"/>
      <c r="G203" s="8"/>
      <c r="H203" s="51"/>
      <c r="I203" s="51"/>
    </row>
    <row r="204" spans="1:9" customFormat="1" ht="64.400000000000006" customHeight="1" x14ac:dyDescent="0.3">
      <c r="A204" s="31" t="s">
        <v>68</v>
      </c>
      <c r="B204" s="29" t="s">
        <v>161</v>
      </c>
      <c r="C204" s="45"/>
      <c r="D204" s="45"/>
      <c r="E204" s="45"/>
      <c r="F204" s="36"/>
      <c r="G204" s="8" t="str">
        <f>IF(C204="","",IF(C204="Yes","Please state the algorithm/method used to achieve encryption of databases.","Please describe plans to emcrypt databases."))</f>
        <v/>
      </c>
      <c r="H204" s="51"/>
      <c r="I204" s="51"/>
    </row>
    <row r="205" spans="1:9" customFormat="1" ht="64.400000000000006" customHeight="1" x14ac:dyDescent="0.3">
      <c r="A205" s="31" t="s">
        <v>70</v>
      </c>
      <c r="B205" s="29" t="s">
        <v>622</v>
      </c>
      <c r="C205" s="45"/>
      <c r="D205" s="45"/>
      <c r="E205" s="45"/>
      <c r="F205" s="36"/>
      <c r="G205" s="8" t="str">
        <f>IF(C205="","",IF(C205="Yes","Please state the algorithm/method used to encrypt unstructured data.","Please describe plans to implement the encryption of unstructured data."))</f>
        <v/>
      </c>
      <c r="H205" s="51"/>
      <c r="I205" s="51"/>
    </row>
    <row r="206" spans="1:9" customFormat="1" ht="64.400000000000006" customHeight="1" x14ac:dyDescent="0.3">
      <c r="A206" s="31" t="s">
        <v>250</v>
      </c>
      <c r="B206" s="29" t="s">
        <v>170</v>
      </c>
      <c r="C206" s="45"/>
      <c r="D206" s="45"/>
      <c r="E206" s="45"/>
      <c r="F206" s="36"/>
      <c r="G206" s="8" t="str">
        <f>IF(C206="","",IF(C206="Yes","Please describe how workstations and mobile devices are encrypted.","Describe plans to encrypt workstations and/or mobile devices."))</f>
        <v/>
      </c>
      <c r="H206" s="51"/>
      <c r="I206" s="51"/>
    </row>
    <row r="207" spans="1:9" customFormat="1" ht="64.400000000000006" customHeight="1" x14ac:dyDescent="0.3">
      <c r="A207" s="31" t="s">
        <v>349</v>
      </c>
      <c r="B207" s="29" t="s">
        <v>147</v>
      </c>
      <c r="C207" s="45"/>
      <c r="D207" s="45"/>
      <c r="E207" s="45"/>
      <c r="F207" s="36"/>
      <c r="G207" s="8"/>
      <c r="H207" s="51"/>
      <c r="I207" s="51"/>
    </row>
    <row r="208" spans="1:9" customFormat="1" ht="64.400000000000006" customHeight="1" x14ac:dyDescent="0.3">
      <c r="A208" s="31" t="s">
        <v>350</v>
      </c>
      <c r="B208" s="29" t="s">
        <v>623</v>
      </c>
      <c r="C208" s="45"/>
      <c r="D208" s="45"/>
      <c r="E208" s="45"/>
      <c r="F208" s="36"/>
      <c r="G208" s="8" t="str">
        <f>IF(C208="","",IF(C208="Yes","Please state the algorithm/method used to achieve encrypt data over TCP/IP.","Please describe plans to encrypt data over TCP/IP."))</f>
        <v/>
      </c>
      <c r="H208" s="51"/>
      <c r="I208" s="51" t="s">
        <v>511</v>
      </c>
    </row>
    <row r="209" spans="1:9" customFormat="1" ht="64.400000000000006" customHeight="1" x14ac:dyDescent="0.3">
      <c r="A209" s="31" t="s">
        <v>352</v>
      </c>
      <c r="B209" s="29" t="s">
        <v>624</v>
      </c>
      <c r="C209" s="45"/>
      <c r="D209" s="45"/>
      <c r="E209" s="45"/>
      <c r="F209" s="19"/>
      <c r="G209" s="8" t="s">
        <v>291</v>
      </c>
      <c r="H209" s="51"/>
      <c r="I209" s="51"/>
    </row>
    <row r="210" spans="1:9" customFormat="1" ht="64.400000000000006" customHeight="1" x14ac:dyDescent="0.3">
      <c r="A210" s="31" t="s">
        <v>358</v>
      </c>
      <c r="B210" s="29" t="s">
        <v>625</v>
      </c>
      <c r="C210" s="45"/>
      <c r="D210" s="45"/>
      <c r="E210" s="45"/>
      <c r="F210" s="19"/>
      <c r="G210" s="8" t="str">
        <f>IF(C210="","",IF(C210="Yes","Please list all cloud providers that will host Utility data.",""))</f>
        <v/>
      </c>
      <c r="H210" s="51"/>
      <c r="I210" s="51"/>
    </row>
    <row r="211" spans="1:9" customFormat="1" ht="64.400000000000006" customHeight="1" x14ac:dyDescent="0.3">
      <c r="A211" s="31" t="s">
        <v>391</v>
      </c>
      <c r="B211" s="29" t="s">
        <v>66</v>
      </c>
      <c r="C211" s="45"/>
      <c r="D211" s="45"/>
      <c r="E211" s="45"/>
      <c r="F211" s="19"/>
      <c r="G211" s="8"/>
      <c r="H211" s="51"/>
      <c r="I211" s="51"/>
    </row>
    <row r="212" spans="1:9" customFormat="1" ht="64.400000000000006" customHeight="1" x14ac:dyDescent="0.3">
      <c r="A212" s="31" t="s">
        <v>420</v>
      </c>
      <c r="B212" s="29" t="s">
        <v>71</v>
      </c>
      <c r="C212" s="45"/>
      <c r="D212" s="45"/>
      <c r="E212" s="45"/>
      <c r="F212" s="19"/>
      <c r="G212" s="8" t="str">
        <f>IF(C212="","",IF(C212="Yes","Please specify the algorithm used to encrypt data backups.","State any plans to encrypt data backups."))</f>
        <v/>
      </c>
      <c r="H212" s="51"/>
      <c r="I212" s="51"/>
    </row>
    <row r="213" spans="1:9" customFormat="1" ht="64.400000000000006" customHeight="1" x14ac:dyDescent="0.3">
      <c r="A213" s="31" t="s">
        <v>421</v>
      </c>
      <c r="B213" s="29" t="s">
        <v>626</v>
      </c>
      <c r="C213" s="45"/>
      <c r="D213" s="45"/>
      <c r="E213" s="45"/>
      <c r="F213" s="19"/>
      <c r="G213" s="8"/>
      <c r="H213" s="51"/>
      <c r="I213" s="51"/>
    </row>
    <row r="214" spans="1:9" customFormat="1" ht="64.400000000000006" customHeight="1" x14ac:dyDescent="0.3">
      <c r="A214" s="63" t="s">
        <v>186</v>
      </c>
      <c r="B214" s="63"/>
      <c r="C214" s="3" t="s">
        <v>673</v>
      </c>
      <c r="D214" s="3" t="s">
        <v>674</v>
      </c>
      <c r="E214" s="3" t="s">
        <v>121</v>
      </c>
      <c r="F214" s="3" t="s">
        <v>18</v>
      </c>
      <c r="G214" s="3" t="s">
        <v>19</v>
      </c>
      <c r="H214" s="3" t="s">
        <v>406</v>
      </c>
      <c r="I214" s="3" t="s">
        <v>440</v>
      </c>
    </row>
    <row r="215" spans="1:9" customFormat="1" ht="64.400000000000006" customHeight="1" x14ac:dyDescent="0.3">
      <c r="A215" s="14" t="s">
        <v>251</v>
      </c>
      <c r="B215" s="5" t="s">
        <v>519</v>
      </c>
      <c r="C215" s="45"/>
      <c r="D215" s="45"/>
      <c r="E215" s="45"/>
      <c r="F215" s="19"/>
      <c r="G215" s="8" t="str">
        <f>IF(C215="","",IF(C215="Yes","Please describe your cyber incident response process, including when notification would be made to customers.","State plans to develop and implement a cyber incident response process."))</f>
        <v/>
      </c>
      <c r="H215" s="51">
        <v>25</v>
      </c>
      <c r="I215" s="51" t="s">
        <v>520</v>
      </c>
    </row>
    <row r="216" spans="1:9" customFormat="1" ht="64.400000000000006" customHeight="1" x14ac:dyDescent="0.3">
      <c r="A216" s="14" t="s">
        <v>252</v>
      </c>
      <c r="B216" s="5" t="s">
        <v>412</v>
      </c>
      <c r="C216" s="45"/>
      <c r="D216" s="45"/>
      <c r="E216" s="45"/>
      <c r="F216" s="19"/>
      <c r="G216" s="8"/>
      <c r="H216" s="51">
        <v>28</v>
      </c>
      <c r="I216" s="51" t="s">
        <v>521</v>
      </c>
    </row>
    <row r="217" spans="1:9" customFormat="1" ht="120" customHeight="1" x14ac:dyDescent="0.3">
      <c r="A217" s="14" t="s">
        <v>253</v>
      </c>
      <c r="B217" s="5" t="s">
        <v>413</v>
      </c>
      <c r="C217" s="45"/>
      <c r="D217" s="45"/>
      <c r="E217" s="45"/>
      <c r="F217" s="19"/>
      <c r="G217" s="8" t="s">
        <v>414</v>
      </c>
      <c r="H217" s="51">
        <v>36</v>
      </c>
      <c r="I217" s="51" t="s">
        <v>522</v>
      </c>
    </row>
    <row r="218" spans="1:9" customFormat="1" ht="64.400000000000006" customHeight="1" x14ac:dyDescent="0.3">
      <c r="A218" s="14" t="s">
        <v>339</v>
      </c>
      <c r="B218" s="29" t="s">
        <v>627</v>
      </c>
      <c r="C218" s="45"/>
      <c r="D218" s="45"/>
      <c r="E218" s="45"/>
      <c r="F218" s="19"/>
      <c r="G218" s="8"/>
      <c r="H218" s="51" t="s">
        <v>523</v>
      </c>
      <c r="I218" s="51" t="s">
        <v>524</v>
      </c>
    </row>
    <row r="219" spans="1:9" customFormat="1" ht="72" customHeight="1" x14ac:dyDescent="0.3">
      <c r="A219" s="14" t="s">
        <v>337</v>
      </c>
      <c r="B219" s="29" t="s">
        <v>328</v>
      </c>
      <c r="C219" s="45"/>
      <c r="D219" s="45"/>
      <c r="E219" s="45"/>
      <c r="F219" s="37"/>
      <c r="G219" s="8" t="str">
        <f>IF(C219="","",IF(C219="Yes","Please describe this process.","State plans to develop and implement such a process."))</f>
        <v/>
      </c>
      <c r="H219" s="51"/>
      <c r="I219" s="51" t="s">
        <v>525</v>
      </c>
    </row>
    <row r="220" spans="1:9" customFormat="1" ht="64.400000000000006" customHeight="1" x14ac:dyDescent="0.3">
      <c r="A220" s="14" t="s">
        <v>338</v>
      </c>
      <c r="B220" s="29" t="s">
        <v>397</v>
      </c>
      <c r="C220" s="45"/>
      <c r="D220" s="45"/>
      <c r="E220" s="45"/>
      <c r="F220" s="37"/>
      <c r="G220" s="8" t="s">
        <v>526</v>
      </c>
      <c r="H220" s="51">
        <v>33</v>
      </c>
      <c r="I220" s="51" t="s">
        <v>527</v>
      </c>
    </row>
    <row r="221" spans="1:9" customFormat="1" ht="64.400000000000006" customHeight="1" x14ac:dyDescent="0.3">
      <c r="A221" s="14" t="s">
        <v>341</v>
      </c>
      <c r="B221" s="29" t="s">
        <v>340</v>
      </c>
      <c r="C221" s="45"/>
      <c r="D221" s="45"/>
      <c r="E221" s="45"/>
      <c r="F221" s="37"/>
      <c r="G221" s="8" t="s">
        <v>528</v>
      </c>
      <c r="H221" s="51" t="s">
        <v>529</v>
      </c>
      <c r="I221" s="51" t="s">
        <v>530</v>
      </c>
    </row>
    <row r="222" spans="1:9" customFormat="1" ht="64.400000000000006" customHeight="1" x14ac:dyDescent="0.3">
      <c r="A222" s="14" t="s">
        <v>342</v>
      </c>
      <c r="B222" s="29" t="s">
        <v>531</v>
      </c>
      <c r="C222" s="45"/>
      <c r="D222" s="45"/>
      <c r="E222" s="45"/>
      <c r="F222" s="37"/>
      <c r="G222" s="8"/>
      <c r="H222" s="51">
        <v>32</v>
      </c>
      <c r="I222" s="51" t="s">
        <v>532</v>
      </c>
    </row>
    <row r="223" spans="1:9" customFormat="1" ht="64.400000000000006" customHeight="1" x14ac:dyDescent="0.3">
      <c r="A223" s="14" t="s">
        <v>344</v>
      </c>
      <c r="B223" s="29" t="s">
        <v>628</v>
      </c>
      <c r="C223" s="45"/>
      <c r="D223" s="45"/>
      <c r="E223" s="45"/>
      <c r="F223" s="37"/>
      <c r="G223" s="8"/>
      <c r="H223" s="51">
        <v>27</v>
      </c>
      <c r="I223" s="51" t="s">
        <v>533</v>
      </c>
    </row>
    <row r="224" spans="1:9" customFormat="1" ht="64.400000000000006" customHeight="1" x14ac:dyDescent="0.3">
      <c r="A224" s="14" t="s">
        <v>422</v>
      </c>
      <c r="B224" s="29" t="s">
        <v>343</v>
      </c>
      <c r="C224" s="45"/>
      <c r="D224" s="45"/>
      <c r="E224" s="45"/>
      <c r="F224" s="37"/>
      <c r="G224" s="8"/>
      <c r="H224" s="51">
        <v>29</v>
      </c>
      <c r="I224" s="51" t="s">
        <v>534</v>
      </c>
    </row>
    <row r="225" spans="1:9" customFormat="1" ht="64.400000000000006" customHeight="1" x14ac:dyDescent="0.3">
      <c r="A225" s="14" t="s">
        <v>423</v>
      </c>
      <c r="B225" s="29" t="s">
        <v>398</v>
      </c>
      <c r="C225" s="45"/>
      <c r="D225" s="45"/>
      <c r="E225" s="45"/>
      <c r="F225" s="37"/>
      <c r="G225" s="8" t="s">
        <v>345</v>
      </c>
      <c r="H225" s="51"/>
      <c r="I225" s="51"/>
    </row>
    <row r="226" spans="1:9" customFormat="1" ht="64.400000000000006" customHeight="1" x14ac:dyDescent="0.3">
      <c r="A226" s="14" t="s">
        <v>424</v>
      </c>
      <c r="B226" s="5" t="s">
        <v>292</v>
      </c>
      <c r="C226" s="45"/>
      <c r="D226" s="45"/>
      <c r="E226" s="45"/>
      <c r="F226" s="19"/>
      <c r="G226" s="8" t="str">
        <f>IF(C226="","",IF(C226="Yes","What type of system do you use (network-based, host-based, etc.)?","State plans to implement an intrustion detection/prevention system."))</f>
        <v/>
      </c>
      <c r="H226" s="51"/>
      <c r="I226" s="51"/>
    </row>
    <row r="227" spans="1:9" customFormat="1" ht="64.400000000000006" customHeight="1" x14ac:dyDescent="0.3">
      <c r="A227" s="14" t="s">
        <v>425</v>
      </c>
      <c r="B227" s="5" t="s">
        <v>187</v>
      </c>
      <c r="C227" s="45"/>
      <c r="D227" s="45"/>
      <c r="E227" s="45"/>
      <c r="F227" s="19"/>
      <c r="G227" s="8"/>
      <c r="H227" s="51"/>
      <c r="I227" s="51"/>
    </row>
    <row r="228" spans="1:9" customFormat="1" ht="52.5" x14ac:dyDescent="0.3">
      <c r="A228" s="63" t="s">
        <v>188</v>
      </c>
      <c r="B228" s="63"/>
      <c r="C228" s="3" t="s">
        <v>673</v>
      </c>
      <c r="D228" s="3" t="s">
        <v>674</v>
      </c>
      <c r="E228" s="3" t="s">
        <v>121</v>
      </c>
      <c r="F228" s="3" t="s">
        <v>18</v>
      </c>
      <c r="G228" s="4" t="s">
        <v>19</v>
      </c>
      <c r="H228" s="3" t="s">
        <v>406</v>
      </c>
      <c r="I228" s="3" t="s">
        <v>440</v>
      </c>
    </row>
    <row r="229" spans="1:9" customFormat="1" ht="48" customHeight="1" x14ac:dyDescent="0.3">
      <c r="A229" s="14" t="s">
        <v>254</v>
      </c>
      <c r="B229" s="5" t="s">
        <v>629</v>
      </c>
      <c r="C229" s="45"/>
      <c r="D229" s="45"/>
      <c r="E229" s="45"/>
      <c r="F229" s="19"/>
      <c r="G229" s="8" t="s">
        <v>189</v>
      </c>
      <c r="H229" s="52"/>
      <c r="I229" s="52"/>
    </row>
    <row r="230" spans="1:9" customFormat="1" ht="64.5" customHeight="1" x14ac:dyDescent="0.3">
      <c r="A230" s="14" t="s">
        <v>255</v>
      </c>
      <c r="B230" s="5" t="s">
        <v>83</v>
      </c>
      <c r="C230" s="45"/>
      <c r="D230" s="45"/>
      <c r="E230" s="45"/>
      <c r="F230" s="19"/>
      <c r="G230" s="8" t="s">
        <v>647</v>
      </c>
      <c r="H230" s="52"/>
      <c r="I230" s="52"/>
    </row>
    <row r="231" spans="1:9" customFormat="1" ht="48" customHeight="1" x14ac:dyDescent="0.3">
      <c r="A231" s="14" t="s">
        <v>256</v>
      </c>
      <c r="B231" s="5" t="s">
        <v>119</v>
      </c>
      <c r="C231" s="45"/>
      <c r="D231" s="45"/>
      <c r="E231" s="45"/>
      <c r="F231" s="20"/>
      <c r="G231" s="8" t="str">
        <f>IF(C231="","",IF(C231="Yes","State the application title as listed within the trusted source.","Decribe how the application is distributed. Also, state any plans to publish the app to a trusted source."))</f>
        <v/>
      </c>
      <c r="H231" s="52"/>
      <c r="I231" s="52"/>
    </row>
    <row r="232" spans="1:9" customFormat="1" ht="48" customHeight="1" x14ac:dyDescent="0.3">
      <c r="A232" s="14" t="s">
        <v>257</v>
      </c>
      <c r="B232" s="5" t="s">
        <v>190</v>
      </c>
      <c r="C232" s="45"/>
      <c r="D232" s="45"/>
      <c r="E232" s="45"/>
      <c r="F232" s="20"/>
      <c r="G232" s="8" t="str">
        <f>IF(C232="","",IF(C232="Yes","Provide a detailed summary for your response.",""))</f>
        <v/>
      </c>
      <c r="H232" s="52"/>
      <c r="I232" s="52"/>
    </row>
    <row r="233" spans="1:9" customFormat="1" ht="57.75" customHeight="1" x14ac:dyDescent="0.3">
      <c r="A233" s="14" t="s">
        <v>258</v>
      </c>
      <c r="B233" s="5" t="s">
        <v>149</v>
      </c>
      <c r="C233" s="45"/>
      <c r="D233" s="45"/>
      <c r="E233" s="45"/>
      <c r="F233" s="20"/>
      <c r="G233" s="8" t="str">
        <f>IF(C233="","",IF(C233="Yes","Provide a detailed description of what data will be stored and in which location(s), as well as why storing this data in this/these location(s) is necessary.",""))</f>
        <v/>
      </c>
      <c r="H233" s="52"/>
      <c r="I233" s="52"/>
    </row>
    <row r="234" spans="1:9" customFormat="1" ht="48" customHeight="1" x14ac:dyDescent="0.3">
      <c r="A234" s="14" t="s">
        <v>259</v>
      </c>
      <c r="B234" s="5" t="s">
        <v>630</v>
      </c>
      <c r="C234" s="45"/>
      <c r="D234" s="45"/>
      <c r="E234" s="45"/>
      <c r="F234" s="20"/>
      <c r="G234" s="8" t="str">
        <f>IF(C234="","",IF(C234="Yes","Summarize your MDM capabilities.","State any plans to implement a MDM platform in your environment."))</f>
        <v/>
      </c>
      <c r="H234" s="52"/>
      <c r="I234" s="52"/>
    </row>
    <row r="235" spans="1:9" customFormat="1" ht="48" customHeight="1" x14ac:dyDescent="0.3">
      <c r="A235" s="14" t="s">
        <v>260</v>
      </c>
      <c r="B235" s="5" t="s">
        <v>150</v>
      </c>
      <c r="C235" s="45"/>
      <c r="D235" s="45"/>
      <c r="E235" s="45"/>
      <c r="F235" s="20"/>
      <c r="G235" s="8" t="str">
        <f>IF(C235="","",IF(C235="Yes","State any capabilities and plans to detect and prevent the use of jailbroken devices.","Please provide a explanation on how this is enforced."))</f>
        <v/>
      </c>
      <c r="H235" s="52"/>
      <c r="I235" s="52"/>
    </row>
    <row r="236" spans="1:9" customFormat="1" ht="48" customHeight="1" x14ac:dyDescent="0.3">
      <c r="A236" s="14" t="s">
        <v>261</v>
      </c>
      <c r="B236" s="5" t="s">
        <v>631</v>
      </c>
      <c r="C236" s="45"/>
      <c r="D236" s="45"/>
      <c r="E236" s="45"/>
      <c r="F236" s="20"/>
      <c r="G236" s="8" t="str">
        <f>IF(C236="","",IF(C236="Yes","Describe how data is encrypted in transport. (i.e. from system to app)","Summarize why data is not encrypted in transport. (i.e. from system to app)"))</f>
        <v/>
      </c>
      <c r="H236" s="52"/>
      <c r="I236" s="52"/>
    </row>
    <row r="237" spans="1:9" customFormat="1" ht="48" customHeight="1" x14ac:dyDescent="0.3">
      <c r="A237" s="14" t="s">
        <v>262</v>
      </c>
      <c r="B237" s="5" t="s">
        <v>632</v>
      </c>
      <c r="C237" s="45"/>
      <c r="D237" s="45"/>
      <c r="E237" s="45"/>
      <c r="F237" s="20"/>
      <c r="G237" s="8" t="str">
        <f>IF(C237="","",IF(C237="Yes","Describe how data is encrypted in storage (i.e. at-rest within the app).","Summarize why data is not encrypted in storage (i.e. at-rest within the app)"))</f>
        <v/>
      </c>
      <c r="H237" s="52"/>
      <c r="I237" s="52"/>
    </row>
    <row r="238" spans="1:9" customFormat="1" ht="67.5" customHeight="1" x14ac:dyDescent="0.3">
      <c r="A238" s="14" t="s">
        <v>263</v>
      </c>
      <c r="B238" s="5" t="s">
        <v>191</v>
      </c>
      <c r="C238" s="45"/>
      <c r="D238" s="45"/>
      <c r="E238" s="45"/>
      <c r="F238" s="20"/>
      <c r="G238" s="8" t="str">
        <f>IF(C238="","",IF(C238="Yes","Please provide additional information on the methodology used for the vulnerability testing and indicate if the testing was internal or external.","Please state any plans to perform vulnerability testing on the application."))</f>
        <v/>
      </c>
      <c r="H238" s="52"/>
      <c r="I238" s="52"/>
    </row>
    <row r="239" spans="1:9" customFormat="1" ht="64.400000000000006" customHeight="1" x14ac:dyDescent="0.3">
      <c r="A239" s="63" t="s">
        <v>192</v>
      </c>
      <c r="B239" s="63"/>
      <c r="C239" s="3" t="s">
        <v>673</v>
      </c>
      <c r="D239" s="3" t="s">
        <v>674</v>
      </c>
      <c r="E239" s="3" t="s">
        <v>121</v>
      </c>
      <c r="F239" s="3" t="s">
        <v>18</v>
      </c>
      <c r="G239" s="4" t="s">
        <v>19</v>
      </c>
      <c r="H239" s="3" t="s">
        <v>406</v>
      </c>
      <c r="I239" s="3" t="s">
        <v>440</v>
      </c>
    </row>
    <row r="240" spans="1:9" customFormat="1" ht="64.400000000000006" customHeight="1" x14ac:dyDescent="0.3">
      <c r="A240" s="14" t="s">
        <v>264</v>
      </c>
      <c r="B240" s="5" t="s">
        <v>84</v>
      </c>
      <c r="C240" s="45"/>
      <c r="D240" s="45"/>
      <c r="E240" s="45"/>
      <c r="F240" s="20"/>
      <c r="G240" s="35" t="str">
        <f>IF(C240="","",IF(C240="Yes","Provide a copy of your physical security controls and policies along with this document (link or attached).","Describe your intent to implement physical security controls and policies."))</f>
        <v/>
      </c>
      <c r="H240" s="51"/>
      <c r="I240" s="51"/>
    </row>
    <row r="241" spans="1:9" customFormat="1" ht="64.400000000000006" customHeight="1" x14ac:dyDescent="0.3">
      <c r="A241" s="14" t="s">
        <v>265</v>
      </c>
      <c r="B241" s="29" t="s">
        <v>151</v>
      </c>
      <c r="C241" s="45"/>
      <c r="D241" s="45"/>
      <c r="E241" s="45"/>
      <c r="F241" s="30"/>
      <c r="G241" s="8" t="str">
        <f>IF(C241="","",IF(C241="Yes","List open source code or freeware/shareware utilized, including frameworks. Describe how you verify integrity and maintain this code, including monitoring for vulnerabilities and deploying patches.",""))</f>
        <v/>
      </c>
      <c r="H241" s="51"/>
      <c r="I241" s="51"/>
    </row>
    <row r="242" spans="1:9" customFormat="1" ht="64.400000000000006" customHeight="1" x14ac:dyDescent="0.3">
      <c r="A242" s="14" t="s">
        <v>266</v>
      </c>
      <c r="B242" s="29" t="s">
        <v>313</v>
      </c>
      <c r="C242" s="45"/>
      <c r="D242" s="45"/>
      <c r="E242" s="45"/>
      <c r="F242" s="30"/>
      <c r="G242" s="8" t="str">
        <f>IF(C242="","",IF(C242="Yes","Please describe in appropriate detail.","Please describe how you ensure security of products during electronic transport."))</f>
        <v/>
      </c>
      <c r="H242" s="51">
        <v>60</v>
      </c>
      <c r="I242" s="51" t="s">
        <v>535</v>
      </c>
    </row>
    <row r="243" spans="1:9" customFormat="1" ht="64.400000000000006" customHeight="1" x14ac:dyDescent="0.3">
      <c r="A243" s="14" t="s">
        <v>267</v>
      </c>
      <c r="B243" s="29" t="s">
        <v>633</v>
      </c>
      <c r="C243" s="45"/>
      <c r="D243" s="45"/>
      <c r="E243" s="45"/>
      <c r="F243" s="30"/>
      <c r="G243" s="8" t="str">
        <f>IF(C243="","",IF(C243="Yes","Please describe how this is accomplished.",""))</f>
        <v/>
      </c>
      <c r="H243" s="51"/>
      <c r="I243" s="51" t="s">
        <v>536</v>
      </c>
    </row>
    <row r="244" spans="1:9" customFormat="1" ht="64.400000000000006" customHeight="1" x14ac:dyDescent="0.3">
      <c r="A244" s="14" t="s">
        <v>268</v>
      </c>
      <c r="B244" s="29" t="s">
        <v>399</v>
      </c>
      <c r="C244" s="45"/>
      <c r="D244" s="45"/>
      <c r="E244" s="45"/>
      <c r="F244" s="30"/>
      <c r="G244" s="8"/>
      <c r="H244" s="51" t="s">
        <v>537</v>
      </c>
      <c r="I244" s="51" t="s">
        <v>538</v>
      </c>
    </row>
    <row r="245" spans="1:9" customFormat="1" ht="64.400000000000006" customHeight="1" x14ac:dyDescent="0.3">
      <c r="A245" s="14" t="s">
        <v>269</v>
      </c>
      <c r="B245" s="29" t="s">
        <v>634</v>
      </c>
      <c r="C245" s="45"/>
      <c r="D245" s="45"/>
      <c r="E245" s="45"/>
      <c r="F245" s="30"/>
      <c r="G245" s="8"/>
      <c r="H245" s="51">
        <v>51</v>
      </c>
      <c r="I245" s="51" t="s">
        <v>539</v>
      </c>
    </row>
    <row r="246" spans="1:9" customFormat="1" ht="64.400000000000006" customHeight="1" x14ac:dyDescent="0.3">
      <c r="A246" s="14" t="s">
        <v>270</v>
      </c>
      <c r="B246" s="29" t="s">
        <v>334</v>
      </c>
      <c r="C246" s="45"/>
      <c r="D246" s="45"/>
      <c r="E246" s="45"/>
      <c r="F246" s="30"/>
      <c r="G246" s="8"/>
      <c r="H246" s="51"/>
      <c r="I246" s="51"/>
    </row>
    <row r="247" spans="1:9" customFormat="1" ht="64.400000000000006" customHeight="1" x14ac:dyDescent="0.3">
      <c r="A247" s="14" t="s">
        <v>271</v>
      </c>
      <c r="B247" s="29" t="s">
        <v>565</v>
      </c>
      <c r="C247" s="45"/>
      <c r="D247" s="45"/>
      <c r="E247" s="45"/>
      <c r="F247" s="30"/>
      <c r="G247" s="8"/>
      <c r="H247" s="51">
        <v>37</v>
      </c>
      <c r="I247" s="51" t="s">
        <v>540</v>
      </c>
    </row>
    <row r="248" spans="1:9" customFormat="1" ht="64.400000000000006" customHeight="1" x14ac:dyDescent="0.3">
      <c r="A248" s="14" t="s">
        <v>272</v>
      </c>
      <c r="B248" s="29" t="s">
        <v>635</v>
      </c>
      <c r="C248" s="45"/>
      <c r="D248" s="45"/>
      <c r="E248" s="45"/>
      <c r="F248" s="30"/>
      <c r="G248" s="8" t="str">
        <f>IF(C248="","",IF(C248="Yes","Please describe this program.","Please describe how this is accomplished in absence of formal process or program."))</f>
        <v/>
      </c>
      <c r="H248" s="51">
        <v>49</v>
      </c>
      <c r="I248" s="51" t="s">
        <v>541</v>
      </c>
    </row>
    <row r="249" spans="1:9" customFormat="1" ht="64.400000000000006" customHeight="1" x14ac:dyDescent="0.3">
      <c r="A249" s="14" t="s">
        <v>273</v>
      </c>
      <c r="B249" s="29" t="s">
        <v>361</v>
      </c>
      <c r="C249" s="45"/>
      <c r="D249" s="45"/>
      <c r="E249" s="45"/>
      <c r="F249" s="30"/>
      <c r="G249" s="8"/>
      <c r="H249" s="51">
        <v>53</v>
      </c>
      <c r="I249" s="51" t="s">
        <v>542</v>
      </c>
    </row>
    <row r="250" spans="1:9" customFormat="1" ht="64.400000000000006" customHeight="1" x14ac:dyDescent="0.3">
      <c r="A250" s="14" t="s">
        <v>274</v>
      </c>
      <c r="B250" s="29" t="s">
        <v>636</v>
      </c>
      <c r="C250" s="45"/>
      <c r="D250" s="45"/>
      <c r="E250" s="45"/>
      <c r="F250" s="30"/>
      <c r="G250" s="8"/>
      <c r="H250" s="51"/>
      <c r="I250" s="51" t="s">
        <v>543</v>
      </c>
    </row>
    <row r="251" spans="1:9" customFormat="1" ht="64.400000000000006" customHeight="1" x14ac:dyDescent="0.3">
      <c r="A251" s="14" t="s">
        <v>275</v>
      </c>
      <c r="B251" s="29" t="s">
        <v>637</v>
      </c>
      <c r="C251" s="45"/>
      <c r="D251" s="45"/>
      <c r="E251" s="45"/>
      <c r="F251" s="30"/>
      <c r="G251" s="8"/>
      <c r="H251" s="51"/>
      <c r="I251" s="51" t="s">
        <v>544</v>
      </c>
    </row>
    <row r="252" spans="1:9" customFormat="1" ht="64.400000000000006" customHeight="1" x14ac:dyDescent="0.3">
      <c r="A252" s="14" t="s">
        <v>276</v>
      </c>
      <c r="B252" s="29" t="s">
        <v>566</v>
      </c>
      <c r="C252" s="45"/>
      <c r="D252" s="45"/>
      <c r="E252" s="45"/>
      <c r="F252" s="53"/>
      <c r="G252" s="8" t="str">
        <f>IF(C252="","",IF(C252="Yes","Please describe these controls.",""))</f>
        <v/>
      </c>
      <c r="H252" s="51">
        <v>16</v>
      </c>
      <c r="I252" s="51" t="s">
        <v>490</v>
      </c>
    </row>
    <row r="253" spans="1:9" customFormat="1" ht="64.400000000000006" customHeight="1" x14ac:dyDescent="0.3">
      <c r="A253" s="14" t="s">
        <v>277</v>
      </c>
      <c r="B253" s="29" t="s">
        <v>407</v>
      </c>
      <c r="C253" s="45"/>
      <c r="D253" s="45"/>
      <c r="E253" s="45"/>
      <c r="F253" s="30"/>
      <c r="G253" s="8"/>
      <c r="H253" s="51"/>
      <c r="I253" s="51"/>
    </row>
    <row r="254" spans="1:9" customFormat="1" ht="64.400000000000006" customHeight="1" x14ac:dyDescent="0.3">
      <c r="A254" s="14" t="s">
        <v>289</v>
      </c>
      <c r="B254" s="5" t="s">
        <v>160</v>
      </c>
      <c r="C254" s="45"/>
      <c r="D254" s="45"/>
      <c r="E254" s="45"/>
      <c r="F254" s="30"/>
      <c r="G254" s="8" t="str">
        <f>IF(C254="","",IF(C254="Yes","Please describe how the antivirus is maintained and kept up-to-date.","Please describe any plans to install antivirus on all end nodes."))</f>
        <v/>
      </c>
      <c r="H254" s="51"/>
      <c r="I254" s="51"/>
    </row>
    <row r="255" spans="1:9" customFormat="1" ht="64.400000000000006" customHeight="1" x14ac:dyDescent="0.3">
      <c r="A255" s="14" t="s">
        <v>312</v>
      </c>
      <c r="B255" s="5" t="s">
        <v>193</v>
      </c>
      <c r="C255" s="45"/>
      <c r="D255" s="45"/>
      <c r="E255" s="45"/>
      <c r="F255" s="20"/>
      <c r="G255" s="8" t="str">
        <f>IF(C255="","",IF(C255="Yes","Please describe your endpoint protection strategy.","Please describe your endpoint protection strategy."))</f>
        <v/>
      </c>
      <c r="H255" s="51"/>
      <c r="I255" s="51"/>
    </row>
    <row r="256" spans="1:9" customFormat="1" ht="64.400000000000006" customHeight="1" x14ac:dyDescent="0.3">
      <c r="A256" s="14" t="s">
        <v>315</v>
      </c>
      <c r="B256" s="5" t="s">
        <v>156</v>
      </c>
      <c r="C256" s="45"/>
      <c r="D256" s="45"/>
      <c r="E256" s="45"/>
      <c r="F256" s="20"/>
      <c r="G256" s="35" t="str">
        <f>IF(C256="","",IF(C256="Yes","Describe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56" s="51"/>
      <c r="I256" s="51"/>
    </row>
    <row r="257" spans="1:9" customFormat="1" ht="64.400000000000006" customHeight="1" x14ac:dyDescent="0.3">
      <c r="A257" s="14" t="s">
        <v>319</v>
      </c>
      <c r="B257" s="7" t="s">
        <v>167</v>
      </c>
      <c r="C257" s="45"/>
      <c r="D257" s="45"/>
      <c r="E257" s="45"/>
      <c r="F257" s="20"/>
      <c r="G257" s="35" t="str">
        <f>IF(C257="","",IF(C257="Yes","Please provide a copy of the most recent audit.","State any plans to have a SOC 2 Type II audit conducted."))</f>
        <v/>
      </c>
      <c r="H257" s="51"/>
      <c r="I257" s="51"/>
    </row>
    <row r="258" spans="1:9" customFormat="1" ht="64.400000000000006" customHeight="1" x14ac:dyDescent="0.3">
      <c r="A258" s="14" t="s">
        <v>320</v>
      </c>
      <c r="B258" s="7" t="s">
        <v>638</v>
      </c>
      <c r="C258" s="45"/>
      <c r="D258" s="45"/>
      <c r="E258" s="45"/>
      <c r="F258" s="20"/>
      <c r="G258" s="35" t="str">
        <f>IF(C258="","",IF(C258="Yes","Please provide any currently efective certifications.","State any plans to obtain such compliance certifications."))</f>
        <v/>
      </c>
      <c r="H258" s="51"/>
      <c r="I258" s="51"/>
    </row>
    <row r="259" spans="1:9" customFormat="1" ht="64.400000000000006" customHeight="1" x14ac:dyDescent="0.3">
      <c r="A259" s="14" t="s">
        <v>333</v>
      </c>
      <c r="B259" s="7" t="s">
        <v>294</v>
      </c>
      <c r="C259" s="45"/>
      <c r="D259" s="45"/>
      <c r="E259" s="45"/>
      <c r="F259" s="20"/>
      <c r="G259" s="8"/>
      <c r="H259" s="51"/>
      <c r="I259" s="51"/>
    </row>
    <row r="260" spans="1:9" customFormat="1" ht="64.400000000000006" customHeight="1" x14ac:dyDescent="0.3">
      <c r="A260" s="14" t="s">
        <v>346</v>
      </c>
      <c r="B260" s="5" t="s">
        <v>639</v>
      </c>
      <c r="C260" s="45"/>
      <c r="D260" s="45"/>
      <c r="E260" s="45"/>
      <c r="F260" s="20"/>
      <c r="G260" s="8" t="str">
        <f>IF(C260="","",IF(C260="Yes","Provide a detailed summary outlining the security controls implemented to protect the Utility's data.",""))</f>
        <v/>
      </c>
      <c r="H260" s="51"/>
      <c r="I260" s="51"/>
    </row>
    <row r="261" spans="1:9" customFormat="1" ht="64.400000000000006" customHeight="1" x14ac:dyDescent="0.3">
      <c r="A261" s="14" t="s">
        <v>356</v>
      </c>
      <c r="B261" s="5" t="s">
        <v>85</v>
      </c>
      <c r="C261" s="45"/>
      <c r="D261" s="45"/>
      <c r="E261" s="45"/>
      <c r="F261" s="20"/>
      <c r="G261" s="8" t="str">
        <f>IF(C261="","",IF(C261="Yes","State the retention period for security video.","State your plans to retain video monitoring feeds."))</f>
        <v/>
      </c>
      <c r="H261" s="51"/>
      <c r="I261" s="51"/>
    </row>
    <row r="262" spans="1:9" customFormat="1" ht="64.400000000000006" customHeight="1" x14ac:dyDescent="0.3">
      <c r="A262" s="14" t="s">
        <v>360</v>
      </c>
      <c r="B262" s="5" t="s">
        <v>86</v>
      </c>
      <c r="C262" s="45"/>
      <c r="D262" s="45"/>
      <c r="E262" s="45"/>
      <c r="F262" s="20"/>
      <c r="G262" s="8" t="str">
        <f>IF(C262="","",IF(C262="Yes","Summarize your video monitoring strategy for datacenter staff.","Describe plans to have video feed(s) monitored."))</f>
        <v/>
      </c>
      <c r="H262" s="51"/>
      <c r="I262" s="51"/>
    </row>
    <row r="263" spans="1:9" customFormat="1" ht="64.400000000000006" customHeight="1" x14ac:dyDescent="0.3">
      <c r="A263" s="14" t="s">
        <v>362</v>
      </c>
      <c r="B263" s="5" t="s">
        <v>87</v>
      </c>
      <c r="C263" s="45"/>
      <c r="D263" s="45"/>
      <c r="E263" s="45"/>
      <c r="F263" s="20"/>
      <c r="G263" s="8" t="str">
        <f>IF(C263="","",IF(C263="Yes","Summarize your process and procedure for the installation and removal of equipment to/from your environment.","Provide a brief summary for your response."))</f>
        <v/>
      </c>
      <c r="H263" s="51"/>
      <c r="I263" s="51"/>
    </row>
    <row r="264" spans="1:9" customFormat="1" ht="64.400000000000006" customHeight="1" x14ac:dyDescent="0.3">
      <c r="A264" s="14" t="s">
        <v>373</v>
      </c>
      <c r="B264" s="5" t="s">
        <v>567</v>
      </c>
      <c r="C264" s="45"/>
      <c r="D264" s="45"/>
      <c r="E264" s="45"/>
      <c r="F264" s="20"/>
      <c r="G264" s="6" t="str">
        <f>IF(C264="","",IF(C264="Yes","Describe all operating systems that are not currently supported, why they still need to be used (i.e. why they cannot be updated), and methods utilized to secure and maintain them.",""))</f>
        <v/>
      </c>
      <c r="H264" s="51"/>
      <c r="I264" s="51"/>
    </row>
    <row r="265" spans="1:9" customFormat="1" ht="64.400000000000006" customHeight="1" x14ac:dyDescent="0.3">
      <c r="A265" s="14" t="s">
        <v>377</v>
      </c>
      <c r="B265" s="5" t="s">
        <v>640</v>
      </c>
      <c r="C265" s="45"/>
      <c r="D265" s="45"/>
      <c r="E265" s="45"/>
      <c r="F265" s="20"/>
      <c r="G265" s="6" t="str">
        <f>IF(C265="","",IF(C265="Yes","Detail all web browsers that are not currently supported, why they still need to be used (i.e. why they cannot be updated), and methods utilized to secure and maintain them.",""))</f>
        <v/>
      </c>
      <c r="H265" s="51"/>
      <c r="I265" s="51"/>
    </row>
    <row r="266" spans="1:9" customFormat="1" ht="64.400000000000006" customHeight="1" x14ac:dyDescent="0.3">
      <c r="A266" s="14" t="s">
        <v>410</v>
      </c>
      <c r="B266" s="5" t="s">
        <v>91</v>
      </c>
      <c r="C266" s="45"/>
      <c r="D266" s="45"/>
      <c r="E266" s="45"/>
      <c r="F266" s="20"/>
      <c r="G266" s="8" t="str">
        <f>IF(C266="","",IF(C266="Yes","Summarize the information security principles designed into the product lifecycle and how they are integrated.","Describe why security principles are not designed into the product lifecycle."))</f>
        <v/>
      </c>
      <c r="H266" s="51"/>
      <c r="I266" s="51"/>
    </row>
    <row r="267" spans="1:9" customFormat="1" ht="64.400000000000006" customHeight="1" x14ac:dyDescent="0.3">
      <c r="A267" s="14" t="s">
        <v>545</v>
      </c>
      <c r="B267" s="5" t="s">
        <v>641</v>
      </c>
      <c r="C267" s="45"/>
      <c r="D267" s="45"/>
      <c r="E267" s="45"/>
      <c r="F267" s="20"/>
      <c r="G267" s="8"/>
      <c r="H267" s="51">
        <v>20</v>
      </c>
      <c r="I267" s="51" t="s">
        <v>546</v>
      </c>
    </row>
    <row r="268" spans="1:9" customFormat="1" ht="52.5" x14ac:dyDescent="0.3">
      <c r="A268" s="63" t="s">
        <v>178</v>
      </c>
      <c r="B268" s="63"/>
      <c r="C268" s="3" t="s">
        <v>673</v>
      </c>
      <c r="D268" s="3" t="s">
        <v>674</v>
      </c>
      <c r="E268" s="3" t="s">
        <v>121</v>
      </c>
      <c r="F268" s="3" t="s">
        <v>18</v>
      </c>
      <c r="G268" s="4" t="s">
        <v>19</v>
      </c>
      <c r="H268" s="3" t="s">
        <v>406</v>
      </c>
      <c r="I268" s="3" t="s">
        <v>440</v>
      </c>
    </row>
    <row r="269" spans="1:9" customFormat="1" ht="48" customHeight="1" x14ac:dyDescent="0.3">
      <c r="A269" s="14" t="s">
        <v>94</v>
      </c>
      <c r="B269" s="29" t="s">
        <v>405</v>
      </c>
      <c r="C269" s="45"/>
      <c r="D269" s="45"/>
      <c r="E269" s="45"/>
      <c r="F269" s="20"/>
      <c r="G269" s="8" t="str">
        <f>IF(C269="","",IF(C269="Yes","Decribe your external application vulnerability scanning strategy and provide when the last assessment was performed","Describe any plans to implement external vulnerability scanning for your applications."))</f>
        <v/>
      </c>
      <c r="H269" s="51"/>
      <c r="I269" s="51"/>
    </row>
    <row r="270" spans="1:9" customFormat="1" ht="65.150000000000006" customHeight="1" x14ac:dyDescent="0.3">
      <c r="A270" s="14" t="s">
        <v>95</v>
      </c>
      <c r="B270" s="5" t="s">
        <v>97</v>
      </c>
      <c r="C270" s="45"/>
      <c r="D270" s="45"/>
      <c r="E270" s="45"/>
      <c r="F270" s="20"/>
      <c r="G270" s="8" t="str">
        <f>IF(C270="","",IF(C270="Yes","Summarize your vulnerability scanning strategy.","Describe plans to implement application vulnerability scanning prior to release."))</f>
        <v/>
      </c>
      <c r="H270" s="51"/>
      <c r="I270" s="51"/>
    </row>
    <row r="271" spans="1:9" customFormat="1" ht="75" customHeight="1" x14ac:dyDescent="0.3">
      <c r="A271" s="14" t="s">
        <v>96</v>
      </c>
      <c r="B271" s="5" t="s">
        <v>89</v>
      </c>
      <c r="C271" s="45"/>
      <c r="D271" s="45"/>
      <c r="E271" s="45"/>
      <c r="F271" s="20"/>
      <c r="G271" s="9" t="str">
        <f>IF(C271="","",IF(C271="Yes","Provide a list of all tools utilized during static code analysis or static application security testing.","State your plans to implement static code testing practices into your environment."))</f>
        <v/>
      </c>
      <c r="H271" s="51"/>
      <c r="I271" s="51"/>
    </row>
    <row r="272" spans="1:9" customFormat="1" ht="75" customHeight="1" x14ac:dyDescent="0.3">
      <c r="A272" s="14" t="s">
        <v>98</v>
      </c>
      <c r="B272" s="5" t="s">
        <v>642</v>
      </c>
      <c r="C272" s="45"/>
      <c r="D272" s="45"/>
      <c r="E272" s="45"/>
      <c r="F272" s="20"/>
      <c r="G272" s="9" t="str">
        <f>IF(C272="","",IF(C272="Yes","Please link or attach a copy you are willing to share.",""))</f>
        <v/>
      </c>
      <c r="H272" s="51"/>
      <c r="I272" s="51"/>
    </row>
    <row r="273" spans="1:178" customFormat="1" ht="91" customHeight="1" x14ac:dyDescent="0.3">
      <c r="A273" s="14" t="s">
        <v>99</v>
      </c>
      <c r="B273" s="29" t="s">
        <v>643</v>
      </c>
      <c r="C273" s="45"/>
      <c r="D273" s="45"/>
      <c r="E273" s="45"/>
      <c r="F273" s="30"/>
      <c r="G273" s="8"/>
      <c r="H273" s="51"/>
      <c r="I273" s="51" t="s">
        <v>543</v>
      </c>
    </row>
    <row r="274" spans="1:178" customFormat="1" ht="91" customHeight="1" x14ac:dyDescent="0.3">
      <c r="A274" s="14" t="s">
        <v>100</v>
      </c>
      <c r="B274" s="29" t="s">
        <v>644</v>
      </c>
      <c r="C274" s="45"/>
      <c r="D274" s="45"/>
      <c r="E274" s="45"/>
      <c r="F274" s="30"/>
      <c r="G274" s="6" t="str">
        <f>IF(C274="","",IF(C274="Yes","Please descibe in adequate detail, including timeframe for notification.",""))</f>
        <v/>
      </c>
      <c r="H274" s="51">
        <v>57</v>
      </c>
      <c r="I274" s="51" t="s">
        <v>547</v>
      </c>
    </row>
    <row r="275" spans="1:178" customFormat="1" ht="91" customHeight="1" x14ac:dyDescent="0.3">
      <c r="A275" s="14" t="s">
        <v>101</v>
      </c>
      <c r="B275" s="29" t="s">
        <v>400</v>
      </c>
      <c r="C275" s="45"/>
      <c r="D275" s="45"/>
      <c r="E275" s="45"/>
      <c r="F275" s="30"/>
      <c r="G275" s="6"/>
      <c r="H275" s="51"/>
      <c r="I275" s="51"/>
    </row>
    <row r="276" spans="1:178" customFormat="1" ht="91" customHeight="1" x14ac:dyDescent="0.3">
      <c r="A276" s="14" t="s">
        <v>102</v>
      </c>
      <c r="B276" s="29" t="s">
        <v>376</v>
      </c>
      <c r="C276" s="45"/>
      <c r="D276" s="45"/>
      <c r="E276" s="45"/>
      <c r="F276" s="30"/>
      <c r="G276" s="6"/>
      <c r="H276" s="51"/>
      <c r="I276" s="51"/>
    </row>
    <row r="277" spans="1:178" customFormat="1" ht="48" customHeight="1" x14ac:dyDescent="0.3">
      <c r="A277" s="14" t="s">
        <v>278</v>
      </c>
      <c r="B277" s="5" t="s">
        <v>136</v>
      </c>
      <c r="C277" s="45"/>
      <c r="D277" s="45"/>
      <c r="E277" s="45"/>
      <c r="F277" s="20"/>
      <c r="G277" s="8" t="str">
        <f>IF(C277="","",IF(C277="Yes","State the date of your most recent external application assessment.","Describe any plans to have application external assessment(s) performed on your systems."))</f>
        <v/>
      </c>
      <c r="H277" s="51"/>
      <c r="I277" s="51"/>
    </row>
    <row r="278" spans="1:178" customFormat="1" ht="49.4" customHeight="1" x14ac:dyDescent="0.3">
      <c r="A278" s="14" t="s">
        <v>279</v>
      </c>
      <c r="B278" s="5" t="s">
        <v>137</v>
      </c>
      <c r="C278" s="45"/>
      <c r="D278" s="45"/>
      <c r="E278" s="45"/>
      <c r="F278" s="20"/>
      <c r="G278" s="8" t="str">
        <f>IF(C278="","",IF(C278="Yes","Decribe your external system vulnerability scanning strategy, including the frequency of both types of scans.","Describe any plans to implement vulnerability scanning for your systems."))</f>
        <v/>
      </c>
      <c r="H278" s="51" t="s">
        <v>548</v>
      </c>
      <c r="I278" s="51" t="s">
        <v>538</v>
      </c>
    </row>
    <row r="279" spans="1:178" customFormat="1" ht="48" customHeight="1" x14ac:dyDescent="0.3">
      <c r="A279" s="14" t="s">
        <v>280</v>
      </c>
      <c r="B279" s="5" t="s">
        <v>138</v>
      </c>
      <c r="C279" s="45"/>
      <c r="D279" s="45"/>
      <c r="E279" s="45"/>
      <c r="F279" s="20"/>
      <c r="G279" s="8" t="str">
        <f>IF(C279="","",IF(C279="Yes","State the date of your most recent system external assessment.","Describe any plans to have system external assessment(s) performed on your systems."))</f>
        <v/>
      </c>
      <c r="H279" s="51"/>
      <c r="I279" s="51"/>
    </row>
    <row r="280" spans="1:178" customFormat="1" ht="65.150000000000006" customHeight="1" x14ac:dyDescent="0.3">
      <c r="A280" s="14" t="s">
        <v>281</v>
      </c>
      <c r="B280" s="5" t="s">
        <v>107</v>
      </c>
      <c r="C280" s="45"/>
      <c r="D280" s="45"/>
      <c r="E280" s="45"/>
      <c r="F280" s="19"/>
      <c r="G280" s="8" t="s">
        <v>172</v>
      </c>
      <c r="H280" s="51"/>
      <c r="I280" s="51"/>
    </row>
    <row r="281" spans="1:178" customFormat="1" ht="48" customHeight="1" x14ac:dyDescent="0.3">
      <c r="A281" s="14" t="s">
        <v>282</v>
      </c>
      <c r="B281" s="5" t="s">
        <v>645</v>
      </c>
      <c r="C281" s="45"/>
      <c r="D281" s="45"/>
      <c r="E281" s="45"/>
      <c r="F281" s="20"/>
      <c r="G281" s="8" t="str">
        <f>IF(C281="","",IF(C281="Yes","Provide a reference to or attach security scan documentation.","Describe why security scan results will not be provided to the Utility."))</f>
        <v/>
      </c>
      <c r="H281" s="51"/>
      <c r="I281" s="51"/>
    </row>
    <row r="282" spans="1:178" customFormat="1" ht="54" customHeight="1" x14ac:dyDescent="0.3">
      <c r="A282" s="14" t="s">
        <v>283</v>
      </c>
      <c r="B282" s="5" t="s">
        <v>646</v>
      </c>
      <c r="C282" s="45"/>
      <c r="D282" s="45"/>
      <c r="E282" s="45"/>
      <c r="F282" s="20"/>
      <c r="G282" s="8" t="str">
        <f>IF(C282="","",IF(C282="Yes","Provide reference to the process or procedure to setup security testing times and scopes.","Provide a brief summary for your response."))</f>
        <v/>
      </c>
      <c r="H282" s="51"/>
      <c r="I282" s="51"/>
    </row>
    <row r="283" spans="1:178" customFormat="1" ht="75" customHeight="1" x14ac:dyDescent="0.3">
      <c r="A283" s="14" t="s">
        <v>355</v>
      </c>
      <c r="B283" s="5" t="s">
        <v>90</v>
      </c>
      <c r="C283" s="45"/>
      <c r="D283" s="45"/>
      <c r="E283" s="45"/>
      <c r="F283" s="20"/>
      <c r="G283" s="9" t="str">
        <f>IF(C283="","",IF(C283="Yes","Describe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83" s="51"/>
      <c r="I283" s="51" t="s">
        <v>476</v>
      </c>
    </row>
    <row r="284" spans="1:178" customFormat="1" ht="75" customHeight="1" x14ac:dyDescent="0.3">
      <c r="A284" s="14" t="s">
        <v>366</v>
      </c>
      <c r="B284" s="5" t="s">
        <v>92</v>
      </c>
      <c r="C284" s="45"/>
      <c r="D284" s="45"/>
      <c r="E284" s="45"/>
      <c r="F284" s="20"/>
      <c r="G284" s="9" t="str">
        <f>IF(C284="","",IF(C284="Yes","Describe or provide a reference to/attach your system development life cycle methodology including your environments, version control, and change management (if not already covered in the Change Management section).","Describe any plans to implement a documented SDLC."))</f>
        <v/>
      </c>
      <c r="H284" s="51"/>
      <c r="I284" s="51"/>
    </row>
    <row r="285" spans="1:178" customFormat="1" ht="75" customHeight="1" x14ac:dyDescent="0.3">
      <c r="A285" s="14" t="s">
        <v>369</v>
      </c>
      <c r="B285" s="5" t="s">
        <v>120</v>
      </c>
      <c r="C285" s="45"/>
      <c r="D285" s="45"/>
      <c r="E285" s="45"/>
      <c r="F285" s="20"/>
      <c r="G285" s="9"/>
      <c r="H285" s="51"/>
      <c r="I285" s="51"/>
    </row>
    <row r="286" spans="1:178" customFormat="1" ht="75" customHeight="1" x14ac:dyDescent="0.3">
      <c r="A286" s="14" t="s">
        <v>370</v>
      </c>
      <c r="B286" s="5" t="s">
        <v>159</v>
      </c>
      <c r="C286" s="45"/>
      <c r="D286" s="45"/>
      <c r="E286" s="45"/>
      <c r="F286" s="19"/>
      <c r="G286" s="6" t="str">
        <f>IF(C286="","",IF(C286="Yes","Please provide information on the pentetration testing (i.e., when was the test conducted, key findings, etc.).","Please detail any current plans to conduct third-party penetration testing."))</f>
        <v/>
      </c>
      <c r="H286" s="51"/>
      <c r="I286" s="51"/>
    </row>
    <row r="287" spans="1:178" customFormat="1" ht="52.5" x14ac:dyDescent="0.3">
      <c r="A287" s="63" t="s">
        <v>162</v>
      </c>
      <c r="B287" s="63"/>
      <c r="C287" s="3" t="s">
        <v>673</v>
      </c>
      <c r="D287" s="3" t="s">
        <v>674</v>
      </c>
      <c r="E287" s="3" t="s">
        <v>121</v>
      </c>
      <c r="F287" s="3" t="s">
        <v>18</v>
      </c>
      <c r="G287" s="4" t="s">
        <v>19</v>
      </c>
      <c r="H287" s="3" t="s">
        <v>406</v>
      </c>
      <c r="I287" s="3" t="s">
        <v>440</v>
      </c>
    </row>
    <row r="288" spans="1:178" customFormat="1" ht="45.75" customHeight="1" x14ac:dyDescent="0.25">
      <c r="A288" s="14" t="s">
        <v>163</v>
      </c>
      <c r="B288" s="5" t="s">
        <v>166</v>
      </c>
      <c r="C288" s="20"/>
      <c r="D288" s="20"/>
      <c r="E288" s="20"/>
      <c r="F288" s="20"/>
      <c r="G288" s="8" t="str">
        <f>IF(C288="","",IF(C288="Yes","Provide reference to the process or procedure to setup security testing times and scopes.","Provide a brief summary for your response."))</f>
        <v/>
      </c>
      <c r="H288" s="54"/>
      <c r="I288" s="55"/>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row>
  </sheetData>
  <mergeCells count="68">
    <mergeCell ref="C55:F55"/>
    <mergeCell ref="A45:I45"/>
    <mergeCell ref="A52:B52"/>
    <mergeCell ref="C54:F54"/>
    <mergeCell ref="C53:E53"/>
    <mergeCell ref="C41:I41"/>
    <mergeCell ref="C7:I7"/>
    <mergeCell ref="C8:I8"/>
    <mergeCell ref="C9:I9"/>
    <mergeCell ref="C10:I10"/>
    <mergeCell ref="A2:B2"/>
    <mergeCell ref="A1:F1"/>
    <mergeCell ref="A27:G27"/>
    <mergeCell ref="B38:G38"/>
    <mergeCell ref="C24:I24"/>
    <mergeCell ref="C25:I25"/>
    <mergeCell ref="A26:I26"/>
    <mergeCell ref="C2:I2"/>
    <mergeCell ref="A4:I4"/>
    <mergeCell ref="A3:I3"/>
    <mergeCell ref="A5:I5"/>
    <mergeCell ref="C6:I6"/>
    <mergeCell ref="C11:I11"/>
    <mergeCell ref="C12:I12"/>
    <mergeCell ref="C13:I13"/>
    <mergeCell ref="A128:B128"/>
    <mergeCell ref="A148:B148"/>
    <mergeCell ref="A163:B163"/>
    <mergeCell ref="C86:E86"/>
    <mergeCell ref="C79:E79"/>
    <mergeCell ref="C83:F83"/>
    <mergeCell ref="C94:F94"/>
    <mergeCell ref="C95:E95"/>
    <mergeCell ref="C96:E96"/>
    <mergeCell ref="A97:B97"/>
    <mergeCell ref="C122:F122"/>
    <mergeCell ref="A84:B84"/>
    <mergeCell ref="C85:E85"/>
    <mergeCell ref="C87:F87"/>
    <mergeCell ref="C92:E92"/>
    <mergeCell ref="C93:E93"/>
    <mergeCell ref="C56:F56"/>
    <mergeCell ref="C67:F67"/>
    <mergeCell ref="C14:I14"/>
    <mergeCell ref="C15:I15"/>
    <mergeCell ref="C16:I16"/>
    <mergeCell ref="C17:I17"/>
    <mergeCell ref="C18:I18"/>
    <mergeCell ref="C19:I19"/>
    <mergeCell ref="C20:I20"/>
    <mergeCell ref="C21:I21"/>
    <mergeCell ref="C22:I22"/>
    <mergeCell ref="C23:I23"/>
    <mergeCell ref="A43:I43"/>
    <mergeCell ref="A42:I42"/>
    <mergeCell ref="A44:B44"/>
    <mergeCell ref="C40:I40"/>
    <mergeCell ref="A68:B68"/>
    <mergeCell ref="C69:F69"/>
    <mergeCell ref="C70:F70"/>
    <mergeCell ref="C71:F71"/>
    <mergeCell ref="C82:F82"/>
    <mergeCell ref="A287:B287"/>
    <mergeCell ref="A188:B188"/>
    <mergeCell ref="A214:B214"/>
    <mergeCell ref="A228:B228"/>
    <mergeCell ref="A239:B239"/>
    <mergeCell ref="A268:B268"/>
  </mergeCells>
  <phoneticPr fontId="21" type="noConversion"/>
  <conditionalFormatting sqref="A283:I283 A278:I278 A273:I274 A267:I267 A247:I252 A242:I245 A215:I224 A208:I208 A194:I200 A189:I192 A168:I168 A164:I165 A150:I152 A107:I111 A101:I105 A99:I99 A85:I93 A71:I80 A69:I69 A61:I61 A53:I53 A129:I130 A132:I139">
    <cfRule type="expression" dxfId="5" priority="6">
      <formula>$C$51="Yes"</formula>
    </cfRule>
  </conditionalFormatting>
  <conditionalFormatting sqref="B147:I147">
    <cfRule type="expression" dxfId="4" priority="5">
      <formula>$C$46="No"</formula>
    </cfRule>
  </conditionalFormatting>
  <conditionalFormatting sqref="A229:I238">
    <cfRule type="expression" dxfId="3" priority="4">
      <formula>$C$47="No"</formula>
    </cfRule>
  </conditionalFormatting>
  <conditionalFormatting sqref="A228:I228">
    <cfRule type="expression" dxfId="2" priority="3">
      <formula>$C$47="No"</formula>
    </cfRule>
  </conditionalFormatting>
  <conditionalFormatting sqref="B130:I131 B140:I140">
    <cfRule type="expression" dxfId="1" priority="2">
      <formula>$C$49="No"</formula>
    </cfRule>
  </conditionalFormatting>
  <conditionalFormatting sqref="A179:I179">
    <cfRule type="expression" dxfId="0" priority="1">
      <formula>$C$178="No"</formula>
    </cfRule>
  </conditionalFormatting>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450850</xdr:colOff>
                    <xdr:row>26</xdr:row>
                    <xdr:rowOff>260350</xdr:rowOff>
                  </from>
                  <to>
                    <xdr:col>0</xdr:col>
                    <xdr:colOff>723900</xdr:colOff>
                    <xdr:row>28</xdr:row>
                    <xdr:rowOff>76200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0</xdr:col>
                    <xdr:colOff>450850</xdr:colOff>
                    <xdr:row>27</xdr:row>
                    <xdr:rowOff>260350</xdr:rowOff>
                  </from>
                  <to>
                    <xdr:col>0</xdr:col>
                    <xdr:colOff>723900</xdr:colOff>
                    <xdr:row>29</xdr:row>
                    <xdr:rowOff>76200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0</xdr:col>
                    <xdr:colOff>450850</xdr:colOff>
                    <xdr:row>28</xdr:row>
                    <xdr:rowOff>0</xdr:rowOff>
                  </from>
                  <to>
                    <xdr:col>0</xdr:col>
                    <xdr:colOff>723900</xdr:colOff>
                    <xdr:row>29</xdr:row>
                    <xdr:rowOff>95250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0</xdr:col>
                    <xdr:colOff>450850</xdr:colOff>
                    <xdr:row>28</xdr:row>
                    <xdr:rowOff>260350</xdr:rowOff>
                  </from>
                  <to>
                    <xdr:col>0</xdr:col>
                    <xdr:colOff>723900</xdr:colOff>
                    <xdr:row>30</xdr:row>
                    <xdr:rowOff>76200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0</xdr:col>
                    <xdr:colOff>450850</xdr:colOff>
                    <xdr:row>29</xdr:row>
                    <xdr:rowOff>260350</xdr:rowOff>
                  </from>
                  <to>
                    <xdr:col>0</xdr:col>
                    <xdr:colOff>723900</xdr:colOff>
                    <xdr:row>31</xdr:row>
                    <xdr:rowOff>76200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0</xdr:col>
                    <xdr:colOff>450850</xdr:colOff>
                    <xdr:row>30</xdr:row>
                    <xdr:rowOff>260350</xdr:rowOff>
                  </from>
                  <to>
                    <xdr:col>0</xdr:col>
                    <xdr:colOff>723900</xdr:colOff>
                    <xdr:row>32</xdr:row>
                    <xdr:rowOff>76200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0</xdr:col>
                    <xdr:colOff>450850</xdr:colOff>
                    <xdr:row>31</xdr:row>
                    <xdr:rowOff>260350</xdr:rowOff>
                  </from>
                  <to>
                    <xdr:col>0</xdr:col>
                    <xdr:colOff>723900</xdr:colOff>
                    <xdr:row>33</xdr:row>
                    <xdr:rowOff>76200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0</xdr:col>
                    <xdr:colOff>450850</xdr:colOff>
                    <xdr:row>32</xdr:row>
                    <xdr:rowOff>260350</xdr:rowOff>
                  </from>
                  <to>
                    <xdr:col>0</xdr:col>
                    <xdr:colOff>723900</xdr:colOff>
                    <xdr:row>34</xdr:row>
                    <xdr:rowOff>76200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0</xdr:col>
                    <xdr:colOff>450850</xdr:colOff>
                    <xdr:row>33</xdr:row>
                    <xdr:rowOff>260350</xdr:rowOff>
                  </from>
                  <to>
                    <xdr:col>0</xdr:col>
                    <xdr:colOff>723900</xdr:colOff>
                    <xdr:row>35</xdr:row>
                    <xdr:rowOff>76200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0</xdr:col>
                    <xdr:colOff>450850</xdr:colOff>
                    <xdr:row>34</xdr:row>
                    <xdr:rowOff>260350</xdr:rowOff>
                  </from>
                  <to>
                    <xdr:col>0</xdr:col>
                    <xdr:colOff>723900</xdr:colOff>
                    <xdr:row>36</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3268F2C-A7F3-4EF3-8A59-F28819317A72}">
          <x14:formula1>
            <xm:f>Lists!$A$1:$A$2</xm:f>
          </x14:formula1>
          <xm:sqref>C46:E51</xm:sqref>
        </x14:dataValidation>
        <x14:dataValidation type="list" allowBlank="1" showInputMessage="1" showErrorMessage="1" xr:uid="{D60353F1-9BEA-4E78-838E-41DD93D0A9E2}">
          <x14:formula1>
            <xm:f>Lists!$C$1:$C$3</xm:f>
          </x14:formula1>
          <xm:sqref>C53:E53 C57:E66 C72:E81 C85:E85 C86:E86 C88 E88 D88 D89 E89 C89 E91 D91 C91 C90 D90 E90 C92:E92 C93:E93 C95:E95 C96:E96 C123:E127 C98:E121 C129:E147 C149:E162 C164:E187 C189:E213 C215:E227 C229:E238 C269:E286 C240:E267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EBD9288D9B6949B307D31A5A7A4754" ma:contentTypeVersion="1" ma:contentTypeDescription="Create a new document." ma:contentTypeScope="" ma:versionID="2e096f4a294ada0c3058efe0c58bfeb3">
  <xsd:schema xmlns:xsd="http://www.w3.org/2001/XMLSchema" xmlns:xs="http://www.w3.org/2001/XMLSchema" xmlns:p="http://schemas.microsoft.com/office/2006/metadata/properties" xmlns:ns2="6dbdea58-36ce-4410-95f9-7df5ed4dea3b" targetNamespace="http://schemas.microsoft.com/office/2006/metadata/properties" ma:root="true" ma:fieldsID="aea2fe22c4cea2b052a534a8a5c4ee40"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9A0281-EE77-4D69-B61E-3BC7466EA6B8}"/>
</file>

<file path=customXml/itemProps2.xml><?xml version="1.0" encoding="utf-8"?>
<ds:datastoreItem xmlns:ds="http://schemas.openxmlformats.org/officeDocument/2006/customXml" ds:itemID="{794D723F-1BD3-4C35-9783-900B0E865148}">
  <ds:schemaRefs>
    <ds:schemaRef ds:uri="http://schemas.microsoft.com/sharepoint/v3/contenttype/forms"/>
  </ds:schemaRefs>
</ds:datastoreItem>
</file>

<file path=customXml/itemProps3.xml><?xml version="1.0" encoding="utf-8"?>
<ds:datastoreItem xmlns:ds="http://schemas.openxmlformats.org/officeDocument/2006/customXml" ds:itemID="{E8FF3CC6-8F9C-40E6-BFC4-675EC6394983}">
  <ds:schemaRefs>
    <ds:schemaRef ds:uri="http://purl.org/dc/elements/1.1/"/>
    <ds:schemaRef ds:uri="http://purl.org/dc/terms/"/>
    <ds:schemaRef ds:uri="6dbdea58-36ce-4410-95f9-7df5ed4dea3b"/>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Lists</vt:lpstr>
      <vt:lpstr>Use</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2020-05-14T18:52:45Z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0x0101009DEBD9288D9B6949B307D31A5A7A4754</vt:lpwstr>
  </property>
  <property fmtid="{D5CDD505-2E9C-101B-9397-08002B2CF9AE}" pid="10" name="Doc ID 2">
    <vt:lpwstr>1394</vt:lpwstr>
  </property>
  <property fmtid="{D5CDD505-2E9C-101B-9397-08002B2CF9AE}" pid="11" name="Order">
    <vt:r8>53400</vt:r8>
  </property>
  <property fmtid="{D5CDD505-2E9C-101B-9397-08002B2CF9AE}" pid="12" name="TemplateUrl">
    <vt:lpwstr/>
  </property>
  <property fmtid="{D5CDD505-2E9C-101B-9397-08002B2CF9AE}" pid="13" name="xd_Signature">
    <vt:bool>false</vt:bool>
  </property>
  <property fmtid="{D5CDD505-2E9C-101B-9397-08002B2CF9AE}" pid="14" name="xd_ProgID">
    <vt:lpwstr/>
  </property>
  <property fmtid="{D5CDD505-2E9C-101B-9397-08002B2CF9AE}" pid="15" name="_SourceUrl">
    <vt:lpwstr/>
  </property>
  <property fmtid="{D5CDD505-2E9C-101B-9397-08002B2CF9AE}" pid="16" name="_SharedFileIndex">
    <vt:lpwstr/>
  </property>
  <property fmtid="{D5CDD505-2E9C-101B-9397-08002B2CF9AE}" pid="17" name="Doc ID">
    <vt:lpwstr>1394</vt:lpwstr>
  </property>
  <property fmtid="{D5CDD505-2E9C-101B-9397-08002B2CF9AE}" pid="18" name="Status">
    <vt:lpwstr>Superseded/Replaced</vt:lpwstr>
  </property>
</Properties>
</file>